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ntiu.Puscasu\Desktop\SPEPSU\Adrese\"/>
    </mc:Choice>
  </mc:AlternateContent>
  <xr:revisionPtr revIDLastSave="0" documentId="8_{5BDA7AC2-46E5-4049-89D2-B13F17D58C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ntralizator fara TVA" sheetId="5" r:id="rId1"/>
    <sheet name="Memoriu fundamentare fara TV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7" i="4" l="1"/>
  <c r="C127" i="4" s="1"/>
  <c r="C129" i="4" s="1"/>
  <c r="D20" i="5" s="1"/>
  <c r="E59" i="4"/>
  <c r="E62" i="4" s="1"/>
  <c r="D11" i="5" s="1"/>
  <c r="C79" i="4"/>
  <c r="D106" i="4"/>
  <c r="D33" i="5"/>
  <c r="B77" i="4"/>
  <c r="C77" i="4" s="1"/>
  <c r="D170" i="4"/>
  <c r="D18" i="4"/>
  <c r="E18" i="4" s="1"/>
  <c r="G18" i="4" s="1"/>
  <c r="F27" i="4"/>
  <c r="E27" i="4"/>
  <c r="D165" i="4"/>
  <c r="D166" i="4"/>
  <c r="H9" i="4"/>
  <c r="D44" i="4"/>
  <c r="D46" i="4" s="1"/>
  <c r="D9" i="5" s="1"/>
  <c r="B37" i="4"/>
  <c r="D37" i="4" s="1"/>
  <c r="C78" i="4"/>
  <c r="D169" i="4"/>
  <c r="F26" i="4"/>
  <c r="C86" i="4"/>
  <c r="E86" i="4" s="1"/>
  <c r="E91" i="4" s="1"/>
  <c r="D15" i="5" s="1"/>
  <c r="D182" i="4"/>
  <c r="D25" i="5" s="1"/>
  <c r="D168" i="4"/>
  <c r="D167" i="4"/>
  <c r="D164" i="4"/>
  <c r="D163" i="4"/>
  <c r="D162" i="4"/>
  <c r="D158" i="4"/>
  <c r="E148" i="4"/>
  <c r="E147" i="4"/>
  <c r="E146" i="4"/>
  <c r="E145" i="4"/>
  <c r="E144" i="4"/>
  <c r="E143" i="4"/>
  <c r="E142" i="4"/>
  <c r="E141" i="4"/>
  <c r="E140" i="4"/>
  <c r="E139" i="4"/>
  <c r="C114" i="4"/>
  <c r="D18" i="5" s="1"/>
  <c r="D105" i="4"/>
  <c r="F96" i="4"/>
  <c r="F100" i="4" s="1"/>
  <c r="C113" i="4" s="1"/>
  <c r="D72" i="4"/>
  <c r="D13" i="5" s="1"/>
  <c r="D52" i="4"/>
  <c r="D51" i="4"/>
  <c r="D36" i="4"/>
  <c r="D35" i="4"/>
  <c r="E26" i="4"/>
  <c r="E17" i="4"/>
  <c r="G17" i="4" s="1"/>
  <c r="H11" i="4"/>
  <c r="H10" i="4"/>
  <c r="H8" i="4"/>
  <c r="H7" i="4"/>
  <c r="H3" i="4"/>
  <c r="C82" i="4" l="1"/>
  <c r="D14" i="5" s="1"/>
  <c r="D109" i="4"/>
  <c r="C115" i="4" s="1"/>
  <c r="D19" i="5" s="1"/>
  <c r="F31" i="4"/>
  <c r="D7" i="5" s="1"/>
  <c r="G20" i="4"/>
  <c r="D6" i="5" s="1"/>
  <c r="D171" i="4"/>
  <c r="D23" i="5" s="1"/>
  <c r="D17" i="5"/>
  <c r="D22" i="5"/>
  <c r="D40" i="4"/>
  <c r="D8" i="5" s="1"/>
  <c r="D55" i="4"/>
  <c r="D10" i="5" s="1"/>
  <c r="H12" i="4"/>
  <c r="E149" i="4"/>
  <c r="D21" i="5" s="1"/>
  <c r="C118" i="4" l="1"/>
  <c r="D185" i="4" s="1"/>
  <c r="D187" i="4" s="1"/>
  <c r="D189" i="4" s="1"/>
  <c r="D5" i="5"/>
  <c r="D4" i="5" s="1"/>
  <c r="D16" i="5"/>
  <c r="D24" i="5" l="1"/>
  <c r="D26" i="5" l="1"/>
  <c r="D28" i="5" l="1"/>
  <c r="D31" i="5" s="1"/>
  <c r="D35" i="5" s="1"/>
  <c r="D37" i="5" l="1"/>
</calcChain>
</file>

<file path=xl/sharedStrings.xml><?xml version="1.0" encoding="utf-8"?>
<sst xmlns="http://schemas.openxmlformats.org/spreadsheetml/2006/main" count="310" uniqueCount="208">
  <si>
    <t>U.M.</t>
  </si>
  <si>
    <t>lei</t>
  </si>
  <si>
    <t>lei/ora</t>
  </si>
  <si>
    <t>Combustibil şi lubrifianţi</t>
  </si>
  <si>
    <t>Energie electrică tehnologică</t>
  </si>
  <si>
    <t>Piese de schimb, utilaje</t>
  </si>
  <si>
    <t>Materii prime şi materiale consumabile</t>
  </si>
  <si>
    <t>Echipament de lucru şi protecţia muncii</t>
  </si>
  <si>
    <t>Reparaţii</t>
  </si>
  <si>
    <t>Amortizarea utilajelor şi mijloacelor de transport</t>
  </si>
  <si>
    <t>Redeventa</t>
  </si>
  <si>
    <t>Cheltuieli cu protecţia mediului</t>
  </si>
  <si>
    <t>Alte servicii executate de terţi</t>
  </si>
  <si>
    <t>Alte cheltuieli materiale</t>
  </si>
  <si>
    <t xml:space="preserve">         - Salarii</t>
  </si>
  <si>
    <t xml:space="preserve">        -  alte cheltuieli cu munca vie</t>
  </si>
  <si>
    <t>Specificatii</t>
  </si>
  <si>
    <t>Nisip</t>
  </si>
  <si>
    <t>Sare</t>
  </si>
  <si>
    <t xml:space="preserve">        -  CAM </t>
  </si>
  <si>
    <t>1. Costuri materiale</t>
  </si>
  <si>
    <t>1.1. Carburanti si lubrifianti</t>
  </si>
  <si>
    <t>Masini/echipamente</t>
  </si>
  <si>
    <t>Numar unitati</t>
  </si>
  <si>
    <t>Consum specific</t>
  </si>
  <si>
    <t>l/100 km</t>
  </si>
  <si>
    <t xml:space="preserve">Numar </t>
  </si>
  <si>
    <t>Km/an</t>
  </si>
  <si>
    <t>l/ora</t>
  </si>
  <si>
    <t>Numar</t>
  </si>
  <si>
    <t>ore/an</t>
  </si>
  <si>
    <t xml:space="preserve">Cost </t>
  </si>
  <si>
    <t>Costuri alocate</t>
  </si>
  <si>
    <t>1.2. Energie electrica</t>
  </si>
  <si>
    <t>Consumatori</t>
  </si>
  <si>
    <t>Consum</t>
  </si>
  <si>
    <t>Timp de functionare</t>
  </si>
  <si>
    <t>Consum total</t>
  </si>
  <si>
    <t>Cost specific in Kwh</t>
  </si>
  <si>
    <t>Costuri</t>
  </si>
  <si>
    <t>Lei/an</t>
  </si>
  <si>
    <t>lei/kwh</t>
  </si>
  <si>
    <t>kwh/an</t>
  </si>
  <si>
    <t>kw/h</t>
  </si>
  <si>
    <t>Serviciu</t>
  </si>
  <si>
    <t>lei/schimb</t>
  </si>
  <si>
    <t>h/an</t>
  </si>
  <si>
    <t>Piese de schimb/km/</t>
  </si>
  <si>
    <t>ore functionare</t>
  </si>
  <si>
    <t>1.3. Piese de schimb si intretinere</t>
  </si>
  <si>
    <t>Nr. buc.</t>
  </si>
  <si>
    <t>Cost</t>
  </si>
  <si>
    <t>Km/ore functionare/</t>
  </si>
  <si>
    <t>an</t>
  </si>
  <si>
    <t>lei/an</t>
  </si>
  <si>
    <t>1.4. Materii prime si materiale consumabile</t>
  </si>
  <si>
    <t>Categorie</t>
  </si>
  <si>
    <t>lei/luna</t>
  </si>
  <si>
    <t>Nr. Luni</t>
  </si>
  <si>
    <t>lei/angajat/an</t>
  </si>
  <si>
    <t>1.6. Reparatii</t>
  </si>
  <si>
    <t>Nr. Buc.</t>
  </si>
  <si>
    <t>1.9. Cheltuieli cu protectia mediului</t>
  </si>
  <si>
    <t>1.10. Alte servicii executate de terti</t>
  </si>
  <si>
    <t>Nr. Unitati</t>
  </si>
  <si>
    <t>Valoare unitara</t>
  </si>
  <si>
    <t>lei/buc.</t>
  </si>
  <si>
    <t>Durata functionare</t>
  </si>
  <si>
    <t>Personal</t>
  </si>
  <si>
    <t>persoane</t>
  </si>
  <si>
    <t>Numar de ore</t>
  </si>
  <si>
    <t>lucrate/luna</t>
  </si>
  <si>
    <t>Salariu orar</t>
  </si>
  <si>
    <t>Numar luni lucrate</t>
  </si>
  <si>
    <t>2. Costuri cu munca vie</t>
  </si>
  <si>
    <t>unitati</t>
  </si>
  <si>
    <t>Cost unitar</t>
  </si>
  <si>
    <t>Lei</t>
  </si>
  <si>
    <t>Cota</t>
  </si>
  <si>
    <t>3. Taxe, licenta acreditari si autorizari</t>
  </si>
  <si>
    <t>4. Costuri cu inchirierea utilajelor</t>
  </si>
  <si>
    <t>Masini si echipamente</t>
  </si>
  <si>
    <t>Chirie</t>
  </si>
  <si>
    <t>Operatie</t>
  </si>
  <si>
    <t>Cantitate</t>
  </si>
  <si>
    <t>tone/an</t>
  </si>
  <si>
    <t>Lei/tona</t>
  </si>
  <si>
    <t xml:space="preserve">6. Alte costuri </t>
  </si>
  <si>
    <t>Cost total</t>
  </si>
  <si>
    <t>Perioada</t>
  </si>
  <si>
    <t>A. Costuri de exploatare</t>
  </si>
  <si>
    <t>B. Costuri financiare</t>
  </si>
  <si>
    <t>II. Marja 5%</t>
  </si>
  <si>
    <t>II.1 Contributia ANRSC 0,2%</t>
  </si>
  <si>
    <t>2.1. Salarii</t>
  </si>
  <si>
    <t>2.2. CAM</t>
  </si>
  <si>
    <t>%</t>
  </si>
  <si>
    <t>2.3. Alte cheltuieli cu munca vie</t>
  </si>
  <si>
    <t>Autospeciale cu plug si imprastietor</t>
  </si>
  <si>
    <t>Aditivi</t>
  </si>
  <si>
    <t>Suprafata mp</t>
  </si>
  <si>
    <t>Suprafata 1.000 mp</t>
  </si>
  <si>
    <t>Indemnizatie hrana</t>
  </si>
  <si>
    <t>unitati/persoane</t>
  </si>
  <si>
    <t>II.2 Cheltuieli cu contributia la economia circulara</t>
  </si>
  <si>
    <t>Ore max. inchiriere/</t>
  </si>
  <si>
    <t>Autobasculanta 10 T Functionare</t>
  </si>
  <si>
    <t>Autobasculanta 10 T Stationare</t>
  </si>
  <si>
    <t>Utilaj multifunctional cu tractiune integrala Functionare</t>
  </si>
  <si>
    <t>Utilaj multifunctional cu tractiune integrala mic Functionare</t>
  </si>
  <si>
    <t>Utilaj multifunctional cu tractiune integrala mic Stationare</t>
  </si>
  <si>
    <t>Utilaj multifunctional cu tractiune integrala Stationare</t>
  </si>
  <si>
    <t>Autoutilitara min. 3,5 T</t>
  </si>
  <si>
    <t>luna/unitate</t>
  </si>
  <si>
    <t>lei/ora/unitate</t>
  </si>
  <si>
    <t>Buldoexcavator interventie decolmatare</t>
  </si>
  <si>
    <t>Mini incarcator frontal 3,5T</t>
  </si>
  <si>
    <t>Automacara min. 40 T</t>
  </si>
  <si>
    <t>1.5. Echipamente de lucru si protectia muncii</t>
  </si>
  <si>
    <t>Buldoexcavator</t>
  </si>
  <si>
    <t>Echipament informatic</t>
  </si>
  <si>
    <t>luni</t>
  </si>
  <si>
    <t>Lubrifianti (autospeciale si Buldoexcavator)</t>
  </si>
  <si>
    <t>Nr. crt.</t>
  </si>
  <si>
    <t>1.</t>
  </si>
  <si>
    <t>2.</t>
  </si>
  <si>
    <t>3.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</si>
  <si>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</si>
  <si>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</si>
  <si>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</si>
  <si>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</si>
  <si>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</si>
  <si>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</si>
  <si>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</si>
  <si>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</si>
  <si>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</si>
  <si>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</si>
  <si>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</si>
  <si>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 xml:space="preserve"> Cheltuieli materiale, din care:</t>
  </si>
  <si>
    <t>Cheltuieli cu munca vie</t>
  </si>
  <si>
    <t>2.1.</t>
  </si>
  <si>
    <t>2.2.</t>
  </si>
  <si>
    <t>2.3.</t>
  </si>
  <si>
    <t>4.</t>
  </si>
  <si>
    <t>5.</t>
  </si>
  <si>
    <t>6.</t>
  </si>
  <si>
    <t>A.</t>
  </si>
  <si>
    <t>B.</t>
  </si>
  <si>
    <t>II.</t>
  </si>
  <si>
    <t>III.</t>
  </si>
  <si>
    <t>Taxe licenţe, acreditari/certificari si autorizari</t>
  </si>
  <si>
    <t>Costuri cu inchirierea utilajelor</t>
  </si>
  <si>
    <t>Costuri cu depunerea in rampă</t>
  </si>
  <si>
    <t>Alte costuri</t>
  </si>
  <si>
    <t>Cheltuieli financiare</t>
  </si>
  <si>
    <t>Cheltuieli totale (A+B)</t>
  </si>
  <si>
    <t>Contributie ANRSC 0,2% din (I+II)</t>
  </si>
  <si>
    <t>Cheltuieli cu contributia la economia circulara</t>
  </si>
  <si>
    <t>I.</t>
  </si>
  <si>
    <t>II.1.</t>
  </si>
  <si>
    <t>II.2.</t>
  </si>
  <si>
    <t>Cota de dezvoltare</t>
  </si>
  <si>
    <t>Angajati</t>
  </si>
  <si>
    <t>lei/l</t>
  </si>
  <si>
    <t>ITP autospeciale cu plug si imprastietor</t>
  </si>
  <si>
    <t>Diverse</t>
  </si>
  <si>
    <t>Autorizatie mediu</t>
  </si>
  <si>
    <t>Tarif anual mentinere licenta ANRSC</t>
  </si>
  <si>
    <t>Monitorizare GPS</t>
  </si>
  <si>
    <t>Servicii telefonie si internet</t>
  </si>
  <si>
    <t>Nu este cazul!</t>
  </si>
  <si>
    <t>TOTAL COMBATERE POLEI CU SARE SI NISIP (EXCLUSIV TVA)</t>
  </si>
  <si>
    <t>Pret unitar fara TVA/mp</t>
  </si>
  <si>
    <t>I. Cheltuieli totale</t>
  </si>
  <si>
    <t>Venituri obtinute (I.+II.+II.1.+II.2.+III)</t>
  </si>
  <si>
    <t>TARIF COMBATERE POLEI CU SARE SI NISIP (LEI/1.000 MP,  EXCLUSIV TVA)</t>
  </si>
  <si>
    <t>III. Cota de dezvoltare</t>
  </si>
  <si>
    <t>Instalatie spalare auto Karcher</t>
  </si>
  <si>
    <t>Abonament servicii prognoza meteo</t>
  </si>
  <si>
    <t>Anvelope specifice sezonului autospeciale cu plug si imprastietor (4201,68 lei/set)</t>
  </si>
  <si>
    <t>Echipamente protectie</t>
  </si>
  <si>
    <t>Autoturism Ford</t>
  </si>
  <si>
    <t>RCA autospeciala cu plug si imprastietor</t>
  </si>
  <si>
    <t>CASCO autospeciala cu plug si imprastietor</t>
  </si>
  <si>
    <t>CASCO buldoexcavator</t>
  </si>
  <si>
    <t>Iluminat, incalzire</t>
  </si>
  <si>
    <t>RCA autoturism FORD</t>
  </si>
  <si>
    <t>Cheltuieli de exploatare (1+2+3+4+5+6)</t>
  </si>
  <si>
    <t>Linie TELVERDE</t>
  </si>
  <si>
    <t>Volum de lucrari  mp (1.561.748 mp*40 treceri)</t>
  </si>
  <si>
    <t>Ore de noapte</t>
  </si>
  <si>
    <t xml:space="preserve"> </t>
  </si>
  <si>
    <t xml:space="preserve">1.7. Amortizare utilaje si mijloace de transport </t>
  </si>
  <si>
    <t>Valoare</t>
  </si>
  <si>
    <t xml:space="preserve">Durata normata </t>
  </si>
  <si>
    <t>Costurialocate</t>
  </si>
  <si>
    <t>de functionare an</t>
  </si>
  <si>
    <t>de intrare lei</t>
  </si>
  <si>
    <t>1.11. Alte cheltuieli materiale</t>
  </si>
  <si>
    <t>5. Costuri cu depunerea in rampa</t>
  </si>
  <si>
    <t>Director,</t>
  </si>
  <si>
    <t>Director adjunct,</t>
  </si>
  <si>
    <t>Daniel Lajos</t>
  </si>
  <si>
    <t>Ruja Eugen</t>
  </si>
  <si>
    <t xml:space="preserve">1.8. Redeventa </t>
  </si>
  <si>
    <t>Memoriu tehnico-economic justificativ - fundamentare tarif pentru activitatea de curatare si transport zapada de pe
 caile publice si mentinerea in functiune a acestora pe timp de polei sau inghet SEZON IARNA 2022-2023 de pe raza mun. Tg. Mures</t>
  </si>
  <si>
    <t>Fisa de fundamentare a tarifului pentru activitatea de curatare si transport zapada de pe
 caile publice si mentinerea in functiune a acestora pe timp de polei sau inghet                               SEZON IARNA 2022-2023 de pe raza mun. Tg. Mures</t>
  </si>
  <si>
    <t>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</si>
</sst>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Times New Roman"/>
      <family val="1"/>
      <charset val="238"/>
    </font>
    <font>
      <b/>
      <sz val="10"/>
      <name val="Times New Roman"/>
      <family val="1"/>
    </font>
    <font>
      <b/>
      <sz val="12"/>
      <color rgb="FF000000"/>
      <name val="Times New Roman"/>
      <family val="1"/>
      <charset val="238"/>
    </font>
    <font>
      <sz val="10"/>
      <name val="Times New Roman"/>
      <family val="1"/>
    </font>
    <font>
      <sz val="8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3" fillId="0" borderId="27" xfId="0" applyFont="1" applyBorder="1" applyAlignment="1">
      <alignment horizontal="center" vertical="top"/>
    </xf>
    <xf numFmtId="0" fontId="3" fillId="0" borderId="26" xfId="0" applyFont="1" applyBorder="1" applyAlignment="1">
      <alignment horizontal="left" vertical="top"/>
    </xf>
    <xf numFmtId="2" fontId="2" fillId="0" borderId="4" xfId="0" applyNumberFormat="1" applyFont="1" applyBorder="1" applyAlignment="1">
      <alignment horizontal="right" vertical="top"/>
    </xf>
    <xf numFmtId="2" fontId="2" fillId="0" borderId="10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right" vertical="top"/>
    </xf>
    <xf numFmtId="2" fontId="2" fillId="0" borderId="14" xfId="0" applyNumberFormat="1" applyFont="1" applyBorder="1" applyAlignment="1">
      <alignment horizontal="right" vertical="top"/>
    </xf>
    <xf numFmtId="2" fontId="2" fillId="0" borderId="15" xfId="0" applyNumberFormat="1" applyFont="1" applyBorder="1" applyAlignment="1">
      <alignment horizontal="right" vertical="top"/>
    </xf>
    <xf numFmtId="2" fontId="2" fillId="0" borderId="0" xfId="0" applyNumberFormat="1" applyFont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top"/>
    </xf>
    <xf numFmtId="2" fontId="3" fillId="0" borderId="0" xfId="0" applyNumberFormat="1" applyFont="1" applyAlignment="1">
      <alignment horizontal="right" vertical="top"/>
    </xf>
    <xf numFmtId="0" fontId="2" fillId="0" borderId="11" xfId="0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right" vertical="top"/>
    </xf>
    <xf numFmtId="4" fontId="2" fillId="0" borderId="10" xfId="0" applyNumberFormat="1" applyFont="1" applyBorder="1" applyAlignment="1">
      <alignment horizontal="right" vertical="top"/>
    </xf>
    <xf numFmtId="4" fontId="2" fillId="0" borderId="4" xfId="0" applyNumberFormat="1" applyFont="1" applyBorder="1" applyAlignment="1">
      <alignment horizontal="right" vertical="top"/>
    </xf>
    <xf numFmtId="4" fontId="2" fillId="0" borderId="2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2" fillId="0" borderId="21" xfId="0" applyNumberFormat="1" applyFont="1" applyBorder="1" applyAlignment="1">
      <alignment horizontal="left" vertical="top"/>
    </xf>
    <xf numFmtId="4" fontId="2" fillId="0" borderId="9" xfId="0" applyNumberFormat="1" applyFont="1" applyBorder="1" applyAlignment="1">
      <alignment horizontal="left" vertical="top"/>
    </xf>
    <xf numFmtId="4" fontId="2" fillId="0" borderId="16" xfId="0" applyNumberFormat="1" applyFont="1" applyBorder="1" applyAlignment="1">
      <alignment horizontal="left" vertical="top"/>
    </xf>
    <xf numFmtId="4" fontId="2" fillId="0" borderId="22" xfId="0" applyNumberFormat="1" applyFont="1" applyBorder="1" applyAlignment="1">
      <alignment horizontal="right" vertical="top"/>
    </xf>
    <xf numFmtId="4" fontId="2" fillId="0" borderId="23" xfId="0" applyNumberFormat="1" applyFont="1" applyBorder="1" applyAlignment="1">
      <alignment horizontal="right" vertical="top"/>
    </xf>
    <xf numFmtId="4" fontId="2" fillId="0" borderId="24" xfId="0" applyNumberFormat="1" applyFont="1" applyBorder="1" applyAlignment="1">
      <alignment horizontal="right" vertical="top"/>
    </xf>
    <xf numFmtId="4" fontId="2" fillId="0" borderId="9" xfId="0" applyNumberFormat="1" applyFont="1" applyBorder="1" applyAlignment="1">
      <alignment horizontal="right" vertical="top"/>
    </xf>
    <xf numFmtId="4" fontId="2" fillId="0" borderId="3" xfId="0" applyNumberFormat="1" applyFont="1" applyBorder="1" applyAlignment="1">
      <alignment horizontal="right" vertical="top"/>
    </xf>
    <xf numFmtId="4" fontId="2" fillId="0" borderId="16" xfId="0" applyNumberFormat="1" applyFont="1" applyBorder="1" applyAlignment="1">
      <alignment horizontal="right" vertical="top"/>
    </xf>
    <xf numFmtId="4" fontId="2" fillId="0" borderId="25" xfId="0" applyNumberFormat="1" applyFont="1" applyBorder="1" applyAlignment="1">
      <alignment horizontal="right" vertical="top"/>
    </xf>
    <xf numFmtId="4" fontId="2" fillId="0" borderId="17" xfId="0" applyNumberFormat="1" applyFont="1" applyBorder="1" applyAlignment="1">
      <alignment horizontal="right" vertical="top"/>
    </xf>
    <xf numFmtId="4" fontId="2" fillId="0" borderId="18" xfId="0" applyNumberFormat="1" applyFont="1" applyBorder="1" applyAlignment="1">
      <alignment horizontal="right" vertical="top"/>
    </xf>
    <xf numFmtId="4" fontId="2" fillId="0" borderId="0" xfId="0" applyNumberFormat="1" applyFont="1" applyAlignment="1">
      <alignment horizontal="left" vertical="top"/>
    </xf>
    <xf numFmtId="4" fontId="2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4" fontId="0" fillId="0" borderId="0" xfId="0" applyNumberFormat="1" applyAlignment="1">
      <alignment horizontal="left" vertical="top"/>
    </xf>
    <xf numFmtId="0" fontId="7" fillId="0" borderId="0" xfId="0" applyFont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2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right" vertical="top"/>
    </xf>
    <xf numFmtId="4" fontId="1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top"/>
    </xf>
    <xf numFmtId="0" fontId="8" fillId="0" borderId="29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left" vertical="top"/>
    </xf>
    <xf numFmtId="4" fontId="1" fillId="0" borderId="0" xfId="0" applyNumberFormat="1" applyFont="1" applyAlignment="1">
      <alignment horizontal="left" vertical="top"/>
    </xf>
    <xf numFmtId="0" fontId="4" fillId="0" borderId="11" xfId="0" applyFont="1" applyBorder="1" applyAlignment="1">
      <alignment horizontal="center" vertical="top"/>
    </xf>
    <xf numFmtId="0" fontId="6" fillId="0" borderId="29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center" vertical="top"/>
    </xf>
    <xf numFmtId="0" fontId="6" fillId="0" borderId="31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left" vertical="top"/>
    </xf>
    <xf numFmtId="0" fontId="4" fillId="0" borderId="14" xfId="0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right" vertical="top"/>
    </xf>
    <xf numFmtId="0" fontId="4" fillId="0" borderId="19" xfId="0" applyFont="1" applyBorder="1" applyAlignment="1">
      <alignment horizontal="left" vertical="top"/>
    </xf>
    <xf numFmtId="0" fontId="4" fillId="0" borderId="38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/>
    </xf>
    <xf numFmtId="4" fontId="8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 wrapText="1"/>
    </xf>
    <xf numFmtId="4" fontId="8" fillId="2" borderId="0" xfId="0" applyNumberFormat="1" applyFont="1" applyFill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horizontal="right" vertical="top"/>
    </xf>
    <xf numFmtId="0" fontId="4" fillId="0" borderId="21" xfId="0" applyFont="1" applyBorder="1" applyAlignment="1">
      <alignment horizontal="center" vertical="top"/>
    </xf>
    <xf numFmtId="0" fontId="6" fillId="0" borderId="39" xfId="0" applyFont="1" applyBorder="1" applyAlignment="1">
      <alignment horizontal="left" vertical="top" wrapText="1"/>
    </xf>
    <xf numFmtId="0" fontId="8" fillId="0" borderId="40" xfId="0" applyFont="1" applyBorder="1" applyAlignment="1">
      <alignment horizontal="center" vertical="center" wrapText="1"/>
    </xf>
    <xf numFmtId="4" fontId="8" fillId="0" borderId="41" xfId="0" applyNumberFormat="1" applyFont="1" applyBorder="1" applyAlignment="1">
      <alignment vertical="top"/>
    </xf>
    <xf numFmtId="4" fontId="8" fillId="0" borderId="33" xfId="0" applyNumberFormat="1" applyFont="1" applyBorder="1" applyAlignment="1">
      <alignment vertical="center" wrapText="1"/>
    </xf>
    <xf numFmtId="4" fontId="8" fillId="2" borderId="33" xfId="0" applyNumberFormat="1" applyFont="1" applyFill="1" applyBorder="1" applyAlignment="1">
      <alignment vertical="center" wrapText="1"/>
    </xf>
    <xf numFmtId="4" fontId="1" fillId="0" borderId="33" xfId="0" applyNumberFormat="1" applyFont="1" applyBorder="1" applyAlignment="1">
      <alignment vertical="center" wrapText="1"/>
    </xf>
    <xf numFmtId="4" fontId="1" fillId="0" borderId="35" xfId="0" applyNumberFormat="1" applyFont="1" applyBorder="1" applyAlignment="1">
      <alignment vertical="center" wrapText="1"/>
    </xf>
    <xf numFmtId="4" fontId="4" fillId="0" borderId="20" xfId="0" applyNumberFormat="1" applyFont="1" applyBorder="1" applyAlignment="1">
      <alignment horizontal="right" vertical="top"/>
    </xf>
    <xf numFmtId="0" fontId="6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0" fontId="5" fillId="0" borderId="38" xfId="0" applyFont="1" applyBorder="1" applyAlignment="1">
      <alignment horizontal="left" vertical="top"/>
    </xf>
    <xf numFmtId="4" fontId="2" fillId="0" borderId="24" xfId="0" applyNumberFormat="1" applyFont="1" applyBorder="1" applyAlignment="1">
      <alignment horizontal="left" vertical="top"/>
    </xf>
    <xf numFmtId="4" fontId="2" fillId="0" borderId="10" xfId="0" applyNumberFormat="1" applyFont="1" applyBorder="1" applyAlignment="1">
      <alignment horizontal="left" vertical="top"/>
    </xf>
    <xf numFmtId="4" fontId="2" fillId="0" borderId="18" xfId="0" applyNumberFormat="1" applyFont="1" applyBorder="1" applyAlignment="1">
      <alignment horizontal="left" vertical="top"/>
    </xf>
    <xf numFmtId="4" fontId="0" fillId="0" borderId="0" xfId="0" applyNumberFormat="1" applyAlignment="1">
      <alignment horizontal="right" vertical="top"/>
    </xf>
    <xf numFmtId="4" fontId="3" fillId="0" borderId="28" xfId="0" applyNumberFormat="1" applyFont="1" applyBorder="1" applyAlignment="1">
      <alignment horizontal="right" vertical="top"/>
    </xf>
    <xf numFmtId="4" fontId="2" fillId="0" borderId="22" xfId="0" applyNumberFormat="1" applyFont="1" applyBorder="1" applyAlignment="1">
      <alignment horizontal="left" vertical="top"/>
    </xf>
    <xf numFmtId="4" fontId="2" fillId="0" borderId="23" xfId="0" applyNumberFormat="1" applyFont="1" applyBorder="1" applyAlignment="1">
      <alignment horizontal="left" vertical="top"/>
    </xf>
    <xf numFmtId="4" fontId="2" fillId="0" borderId="4" xfId="0" applyNumberFormat="1" applyFont="1" applyBorder="1" applyAlignment="1">
      <alignment horizontal="left" vertical="top"/>
    </xf>
    <xf numFmtId="4" fontId="2" fillId="0" borderId="3" xfId="0" applyNumberFormat="1" applyFont="1" applyBorder="1" applyAlignment="1">
      <alignment horizontal="left" vertical="top"/>
    </xf>
    <xf numFmtId="4" fontId="2" fillId="0" borderId="25" xfId="0" applyNumberFormat="1" applyFont="1" applyBorder="1" applyAlignment="1">
      <alignment horizontal="left" vertical="top"/>
    </xf>
    <xf numFmtId="4" fontId="2" fillId="0" borderId="17" xfId="0" applyNumberFormat="1" applyFont="1" applyBorder="1" applyAlignment="1">
      <alignment horizontal="left" vertical="top"/>
    </xf>
    <xf numFmtId="4" fontId="2" fillId="0" borderId="12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4" fontId="3" fillId="0" borderId="30" xfId="0" applyNumberFormat="1" applyFont="1" applyBorder="1" applyAlignment="1">
      <alignment horizontal="right" vertical="top"/>
    </xf>
    <xf numFmtId="0" fontId="3" fillId="0" borderId="42" xfId="0" applyFont="1" applyBorder="1" applyAlignment="1">
      <alignment horizontal="center" vertical="top"/>
    </xf>
    <xf numFmtId="0" fontId="3" fillId="0" borderId="43" xfId="0" applyFont="1" applyBorder="1" applyAlignment="1">
      <alignment horizontal="center" vertical="top"/>
    </xf>
    <xf numFmtId="0" fontId="3" fillId="0" borderId="44" xfId="0" applyFont="1" applyBorder="1" applyAlignment="1">
      <alignment horizontal="center" vertical="top"/>
    </xf>
    <xf numFmtId="4" fontId="2" fillId="0" borderId="22" xfId="0" applyNumberFormat="1" applyFont="1" applyBorder="1" applyAlignment="1">
      <alignment horizontal="center" vertical="top"/>
    </xf>
    <xf numFmtId="4" fontId="2" fillId="0" borderId="4" xfId="0" applyNumberFormat="1" applyFont="1" applyBorder="1" applyAlignment="1">
      <alignment horizontal="center" vertical="top"/>
    </xf>
    <xf numFmtId="4" fontId="2" fillId="0" borderId="25" xfId="0" applyNumberFormat="1" applyFont="1" applyBorder="1" applyAlignment="1">
      <alignment horizontal="center" vertical="top"/>
    </xf>
    <xf numFmtId="4" fontId="2" fillId="0" borderId="14" xfId="0" applyNumberFormat="1" applyFont="1" applyBorder="1" applyAlignment="1">
      <alignment horizontal="left" vertical="top"/>
    </xf>
    <xf numFmtId="4" fontId="2" fillId="0" borderId="15" xfId="0" applyNumberFormat="1" applyFont="1" applyBorder="1" applyAlignment="1">
      <alignment horizontal="left" vertical="top"/>
    </xf>
    <xf numFmtId="4" fontId="2" fillId="0" borderId="2" xfId="0" applyNumberFormat="1" applyFont="1" applyBorder="1" applyAlignment="1">
      <alignment horizontal="left" vertical="top"/>
    </xf>
    <xf numFmtId="4" fontId="2" fillId="0" borderId="12" xfId="0" applyNumberFormat="1" applyFont="1" applyBorder="1" applyAlignment="1">
      <alignment horizontal="left" vertical="top"/>
    </xf>
    <xf numFmtId="4" fontId="3" fillId="0" borderId="0" xfId="0" applyNumberFormat="1" applyFont="1" applyAlignment="1">
      <alignment horizontal="left" vertical="top"/>
    </xf>
    <xf numFmtId="4" fontId="9" fillId="0" borderId="0" xfId="0" applyNumberFormat="1" applyFont="1" applyAlignment="1">
      <alignment horizontal="left" vertical="top"/>
    </xf>
    <xf numFmtId="4" fontId="2" fillId="0" borderId="22" xfId="0" applyNumberFormat="1" applyFont="1" applyBorder="1" applyAlignment="1">
      <alignment vertical="top"/>
    </xf>
    <xf numFmtId="4" fontId="2" fillId="0" borderId="24" xfId="0" applyNumberFormat="1" applyFont="1" applyBorder="1" applyAlignment="1">
      <alignment vertical="top"/>
    </xf>
    <xf numFmtId="4" fontId="2" fillId="0" borderId="2" xfId="0" applyNumberFormat="1" applyFont="1" applyBorder="1" applyAlignment="1">
      <alignment vertical="top"/>
    </xf>
    <xf numFmtId="4" fontId="2" fillId="0" borderId="12" xfId="0" applyNumberFormat="1" applyFont="1" applyBorder="1" applyAlignment="1">
      <alignment vertical="top"/>
    </xf>
    <xf numFmtId="4" fontId="2" fillId="0" borderId="14" xfId="0" applyNumberFormat="1" applyFont="1" applyBorder="1" applyAlignment="1">
      <alignment vertical="top"/>
    </xf>
    <xf numFmtId="4" fontId="2" fillId="0" borderId="15" xfId="0" applyNumberFormat="1" applyFont="1" applyBorder="1" applyAlignment="1">
      <alignment vertical="top"/>
    </xf>
    <xf numFmtId="4" fontId="2" fillId="0" borderId="42" xfId="0" applyNumberFormat="1" applyFont="1" applyBorder="1" applyAlignment="1">
      <alignment horizontal="right" vertical="top"/>
    </xf>
    <xf numFmtId="4" fontId="2" fillId="0" borderId="45" xfId="0" applyNumberFormat="1" applyFont="1" applyBorder="1" applyAlignment="1">
      <alignment horizontal="right" vertical="top"/>
    </xf>
    <xf numFmtId="4" fontId="2" fillId="0" borderId="43" xfId="0" applyNumberFormat="1" applyFont="1" applyBorder="1" applyAlignment="1">
      <alignment horizontal="right" vertical="top"/>
    </xf>
    <xf numFmtId="4" fontId="2" fillId="0" borderId="44" xfId="0" applyNumberFormat="1" applyFont="1" applyBorder="1" applyAlignment="1">
      <alignment horizontal="right" vertical="top"/>
    </xf>
    <xf numFmtId="164" fontId="4" fillId="0" borderId="20" xfId="0" applyNumberFormat="1" applyFont="1" applyBorder="1" applyAlignment="1">
      <alignment horizontal="right" vertical="top"/>
    </xf>
    <xf numFmtId="4" fontId="1" fillId="0" borderId="33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F4B49-16B1-4D4D-9796-6B7178BE44BA}">
  <dimension ref="A1:J42"/>
  <sheetViews>
    <sheetView tabSelected="1" topLeftCell="A16" workbookViewId="0">
      <selection activeCell="B44" sqref="B44"/>
    </sheetView>
  </sheetViews>
  <sheetFormatPr defaultRowHeight="12.75" x14ac:dyDescent="0.2"/>
  <cols>
    <col min="1" max="1" width="7" style="69" customWidth="1"/>
    <col min="2" max="2" width="52" style="2" customWidth="1"/>
    <col min="3" max="3" width="17.33203125" style="75" customWidth="1"/>
    <col min="4" max="4" width="18" style="2" customWidth="1"/>
    <col min="5" max="5" width="17.5" style="2" customWidth="1"/>
    <col min="6" max="6" width="16.33203125" style="2" customWidth="1"/>
    <col min="7" max="7" width="21.1640625" style="2" customWidth="1"/>
    <col min="8" max="8" width="13.1640625" style="2" customWidth="1"/>
    <col min="9" max="10" width="9.33203125" style="2"/>
  </cols>
  <sheetData>
    <row r="1" spans="1:10" ht="126" customHeight="1" x14ac:dyDescent="0.2">
      <c r="A1" s="152" t="s">
        <v>191</v>
      </c>
      <c r="B1" s="152"/>
      <c r="C1" s="152"/>
      <c r="D1" s="152"/>
    </row>
    <row r="2" spans="1:10" ht="42" customHeight="1" thickBot="1" x14ac:dyDescent="0.25">
      <c r="B2" s="151" t="s">
        <v>206</v>
      </c>
      <c r="C2" s="151"/>
      <c r="D2" s="151"/>
      <c r="E2" s="70"/>
    </row>
    <row r="3" spans="1:10" s="1" customFormat="1" ht="35.25" customHeight="1" thickBot="1" x14ac:dyDescent="0.25">
      <c r="A3" s="71" t="s">
        <v>123</v>
      </c>
      <c r="B3" s="72" t="s">
        <v>16</v>
      </c>
      <c r="C3" s="73" t="s">
        <v>0</v>
      </c>
      <c r="D3" s="74" t="s">
        <v>172</v>
      </c>
      <c r="E3" s="108"/>
      <c r="F3" s="75"/>
      <c r="G3" s="75"/>
      <c r="H3" s="75"/>
      <c r="I3" s="75"/>
      <c r="J3" s="75"/>
    </row>
    <row r="4" spans="1:10" ht="15" customHeight="1" x14ac:dyDescent="0.2">
      <c r="A4" s="99" t="s">
        <v>124</v>
      </c>
      <c r="B4" s="100" t="s">
        <v>138</v>
      </c>
      <c r="C4" s="101" t="s">
        <v>1</v>
      </c>
      <c r="D4" s="102">
        <f>SUM(D5:D15)</f>
        <v>2510115.3630570644</v>
      </c>
      <c r="E4" s="94"/>
    </row>
    <row r="5" spans="1:10" ht="15" customHeight="1" x14ac:dyDescent="0.2">
      <c r="A5" s="76" t="s">
        <v>127</v>
      </c>
      <c r="B5" s="77" t="s">
        <v>3</v>
      </c>
      <c r="C5" s="78" t="s">
        <v>1</v>
      </c>
      <c r="D5" s="103">
        <f>'Memoriu fundamentare fara TVA'!H12</f>
        <v>387504.10539599991</v>
      </c>
      <c r="E5" s="95"/>
      <c r="F5" s="79"/>
    </row>
    <row r="6" spans="1:10" ht="15" customHeight="1" x14ac:dyDescent="0.2">
      <c r="A6" s="76" t="s">
        <v>128</v>
      </c>
      <c r="B6" s="77" t="s">
        <v>4</v>
      </c>
      <c r="C6" s="78" t="s">
        <v>1</v>
      </c>
      <c r="D6" s="103">
        <f>'Memoriu fundamentare fara TVA'!G20</f>
        <v>3168.9</v>
      </c>
      <c r="E6" s="95"/>
      <c r="F6" s="79"/>
    </row>
    <row r="7" spans="1:10" ht="15" customHeight="1" x14ac:dyDescent="0.2">
      <c r="A7" s="76" t="s">
        <v>129</v>
      </c>
      <c r="B7" s="77" t="s">
        <v>5</v>
      </c>
      <c r="C7" s="78" t="s">
        <v>1</v>
      </c>
      <c r="D7" s="104">
        <f>'Memoriu fundamentare fara TVA'!F31</f>
        <v>6722.38</v>
      </c>
      <c r="E7" s="96"/>
      <c r="F7" s="79"/>
    </row>
    <row r="8" spans="1:10" ht="15" customHeight="1" x14ac:dyDescent="0.2">
      <c r="A8" s="76" t="s">
        <v>130</v>
      </c>
      <c r="B8" s="77" t="s">
        <v>6</v>
      </c>
      <c r="C8" s="78" t="s">
        <v>1</v>
      </c>
      <c r="D8" s="104">
        <f>'Memoriu fundamentare fara TVA'!D40</f>
        <v>2073669.4800000002</v>
      </c>
      <c r="E8" s="96"/>
      <c r="F8" s="80"/>
    </row>
    <row r="9" spans="1:10" ht="15" customHeight="1" x14ac:dyDescent="0.2">
      <c r="A9" s="76" t="s">
        <v>131</v>
      </c>
      <c r="B9" s="77" t="s">
        <v>7</v>
      </c>
      <c r="C9" s="78" t="s">
        <v>1</v>
      </c>
      <c r="D9" s="104">
        <f>'Memoriu fundamentare fara TVA'!D46</f>
        <v>3361.36</v>
      </c>
      <c r="E9" s="96"/>
    </row>
    <row r="10" spans="1:10" ht="15" customHeight="1" x14ac:dyDescent="0.2">
      <c r="A10" s="76" t="s">
        <v>132</v>
      </c>
      <c r="B10" s="77" t="s">
        <v>8</v>
      </c>
      <c r="C10" s="78" t="s">
        <v>1</v>
      </c>
      <c r="D10" s="103">
        <f>'Memoriu fundamentare fara TVA'!D55</f>
        <v>5882.3600000000006</v>
      </c>
      <c r="E10" s="95"/>
    </row>
    <row r="11" spans="1:10" ht="15" customHeight="1" x14ac:dyDescent="0.2">
      <c r="A11" s="76" t="s">
        <v>133</v>
      </c>
      <c r="B11" s="77" t="s">
        <v>9</v>
      </c>
      <c r="C11" s="78" t="s">
        <v>1</v>
      </c>
      <c r="D11" s="103">
        <f>'Memoriu fundamentare fara TVA'!E62</f>
        <v>24786.75</v>
      </c>
      <c r="E11" s="95"/>
    </row>
    <row r="12" spans="1:10" ht="15" customHeight="1" x14ac:dyDescent="0.2">
      <c r="A12" s="76" t="s">
        <v>134</v>
      </c>
      <c r="B12" s="77" t="s">
        <v>10</v>
      </c>
      <c r="C12" s="78" t="s">
        <v>1</v>
      </c>
      <c r="D12" s="103">
        <v>0</v>
      </c>
      <c r="E12" s="95"/>
    </row>
    <row r="13" spans="1:10" ht="15" customHeight="1" x14ac:dyDescent="0.2">
      <c r="A13" s="76" t="s">
        <v>135</v>
      </c>
      <c r="B13" s="77" t="s">
        <v>11</v>
      </c>
      <c r="C13" s="78" t="s">
        <v>1</v>
      </c>
      <c r="D13" s="103">
        <f>'Memoriu fundamentare fara TVA'!D72</f>
        <v>0</v>
      </c>
      <c r="E13" s="95"/>
    </row>
    <row r="14" spans="1:10" ht="15" customHeight="1" x14ac:dyDescent="0.2">
      <c r="A14" s="76" t="s">
        <v>136</v>
      </c>
      <c r="B14" s="77" t="s">
        <v>12</v>
      </c>
      <c r="C14" s="78" t="s">
        <v>1</v>
      </c>
      <c r="D14" s="103">
        <f>'Memoriu fundamentare fara TVA'!C82</f>
        <v>4868.3193277310929</v>
      </c>
      <c r="E14" s="95"/>
    </row>
    <row r="15" spans="1:10" ht="15" customHeight="1" x14ac:dyDescent="0.2">
      <c r="A15" s="76" t="s">
        <v>137</v>
      </c>
      <c r="B15" s="77" t="s">
        <v>13</v>
      </c>
      <c r="C15" s="78" t="s">
        <v>1</v>
      </c>
      <c r="D15" s="103">
        <f>'Memoriu fundamentare fara TVA'!E91</f>
        <v>151.70833333333334</v>
      </c>
      <c r="E15" s="95"/>
    </row>
    <row r="16" spans="1:10" ht="15" customHeight="1" x14ac:dyDescent="0.2">
      <c r="A16" s="81" t="s">
        <v>125</v>
      </c>
      <c r="B16" s="82" t="s">
        <v>139</v>
      </c>
      <c r="C16" s="78" t="s">
        <v>1</v>
      </c>
      <c r="D16" s="103">
        <f>D17+D18+D19</f>
        <v>281763.20000000001</v>
      </c>
      <c r="E16" s="95"/>
    </row>
    <row r="17" spans="1:10" ht="15" customHeight="1" x14ac:dyDescent="0.2">
      <c r="A17" s="76" t="s">
        <v>140</v>
      </c>
      <c r="B17" s="77" t="s">
        <v>14</v>
      </c>
      <c r="C17" s="78" t="s">
        <v>1</v>
      </c>
      <c r="D17" s="103">
        <f>'Memoriu fundamentare fara TVA'!C113</f>
        <v>254707.20000000001</v>
      </c>
      <c r="E17" s="95"/>
    </row>
    <row r="18" spans="1:10" ht="15" customHeight="1" x14ac:dyDescent="0.2">
      <c r="A18" s="76" t="s">
        <v>141</v>
      </c>
      <c r="B18" s="77" t="s">
        <v>19</v>
      </c>
      <c r="C18" s="78" t="s">
        <v>1</v>
      </c>
      <c r="D18" s="103">
        <f>'Memoriu fundamentare fara TVA'!C114</f>
        <v>5604</v>
      </c>
      <c r="E18" s="95"/>
    </row>
    <row r="19" spans="1:10" ht="15" customHeight="1" x14ac:dyDescent="0.2">
      <c r="A19" s="76" t="s">
        <v>142</v>
      </c>
      <c r="B19" s="77" t="s">
        <v>15</v>
      </c>
      <c r="C19" s="78" t="s">
        <v>1</v>
      </c>
      <c r="D19" s="103">
        <f>'Memoriu fundamentare fara TVA'!C115</f>
        <v>21452</v>
      </c>
      <c r="E19" s="95"/>
    </row>
    <row r="20" spans="1:10" ht="15" customHeight="1" x14ac:dyDescent="0.2">
      <c r="A20" s="81" t="s">
        <v>126</v>
      </c>
      <c r="B20" s="82" t="s">
        <v>150</v>
      </c>
      <c r="C20" s="78" t="s">
        <v>1</v>
      </c>
      <c r="D20" s="103">
        <f>'Memoriu fundamentare fara TVA'!C129</f>
        <v>7200</v>
      </c>
      <c r="E20" s="95"/>
    </row>
    <row r="21" spans="1:10" ht="15" customHeight="1" x14ac:dyDescent="0.2">
      <c r="A21" s="81" t="s">
        <v>143</v>
      </c>
      <c r="B21" s="82" t="s">
        <v>151</v>
      </c>
      <c r="C21" s="78" t="s">
        <v>1</v>
      </c>
      <c r="D21" s="103">
        <f>'Memoriu fundamentare fara TVA'!E149</f>
        <v>2896000</v>
      </c>
      <c r="E21" s="95"/>
    </row>
    <row r="22" spans="1:10" ht="15" customHeight="1" x14ac:dyDescent="0.2">
      <c r="A22" s="81" t="s">
        <v>144</v>
      </c>
      <c r="B22" s="82" t="s">
        <v>152</v>
      </c>
      <c r="C22" s="78" t="s">
        <v>1</v>
      </c>
      <c r="D22" s="103">
        <f>'Memoriu fundamentare fara TVA'!D158</f>
        <v>0</v>
      </c>
      <c r="E22" s="95"/>
    </row>
    <row r="23" spans="1:10" ht="15" customHeight="1" x14ac:dyDescent="0.2">
      <c r="A23" s="81" t="s">
        <v>145</v>
      </c>
      <c r="B23" s="82" t="s">
        <v>153</v>
      </c>
      <c r="C23" s="78" t="s">
        <v>1</v>
      </c>
      <c r="D23" s="103">
        <f>'Memoriu fundamentare fara TVA'!D171</f>
        <v>15132.666666666668</v>
      </c>
      <c r="E23" s="95"/>
    </row>
    <row r="24" spans="1:10" ht="15" customHeight="1" x14ac:dyDescent="0.2">
      <c r="A24" s="81" t="s">
        <v>146</v>
      </c>
      <c r="B24" s="82" t="s">
        <v>187</v>
      </c>
      <c r="C24" s="78" t="s">
        <v>1</v>
      </c>
      <c r="D24" s="103">
        <f>D4+D16+D20+D21+D22+D23</f>
        <v>5710211.229723732</v>
      </c>
      <c r="E24" s="95"/>
    </row>
    <row r="25" spans="1:10" ht="15" customHeight="1" x14ac:dyDescent="0.2">
      <c r="A25" s="81" t="s">
        <v>147</v>
      </c>
      <c r="B25" s="82" t="s">
        <v>154</v>
      </c>
      <c r="C25" s="78" t="s">
        <v>1</v>
      </c>
      <c r="D25" s="105">
        <f>'Memoriu fundamentare fara TVA'!D182</f>
        <v>0</v>
      </c>
      <c r="E25" s="97"/>
    </row>
    <row r="26" spans="1:10" ht="15" customHeight="1" x14ac:dyDescent="0.2">
      <c r="A26" s="81" t="s">
        <v>158</v>
      </c>
      <c r="B26" s="82" t="s">
        <v>155</v>
      </c>
      <c r="C26" s="78" t="s">
        <v>1</v>
      </c>
      <c r="D26" s="105">
        <f>D24+D25</f>
        <v>5710211.229723732</v>
      </c>
      <c r="E26" s="97"/>
    </row>
    <row r="27" spans="1:10" ht="15" customHeight="1" x14ac:dyDescent="0.2">
      <c r="A27" s="81" t="s">
        <v>148</v>
      </c>
      <c r="B27" s="82" t="s">
        <v>207</v>
      </c>
      <c r="C27" s="78" t="s">
        <v>1</v>
      </c>
      <c r="D27" s="149">
        <v>0</v>
      </c>
      <c r="E27" s="97"/>
    </row>
    <row r="28" spans="1:10" ht="15" customHeight="1" x14ac:dyDescent="0.2">
      <c r="A28" s="81" t="s">
        <v>159</v>
      </c>
      <c r="B28" s="82" t="s">
        <v>156</v>
      </c>
      <c r="C28" s="78" t="s">
        <v>1</v>
      </c>
      <c r="D28" s="105">
        <f>D26*0.2%</f>
        <v>11420.422459447464</v>
      </c>
      <c r="E28" s="97"/>
    </row>
    <row r="29" spans="1:10" ht="15" customHeight="1" x14ac:dyDescent="0.2">
      <c r="A29" s="81" t="s">
        <v>160</v>
      </c>
      <c r="B29" s="82" t="s">
        <v>157</v>
      </c>
      <c r="C29" s="78" t="s">
        <v>1</v>
      </c>
      <c r="D29" s="105">
        <v>0</v>
      </c>
      <c r="E29" s="97"/>
    </row>
    <row r="30" spans="1:10" ht="15" customHeight="1" x14ac:dyDescent="0.2">
      <c r="A30" s="83" t="s">
        <v>149</v>
      </c>
      <c r="B30" s="84" t="s">
        <v>161</v>
      </c>
      <c r="C30" s="85" t="s">
        <v>1</v>
      </c>
      <c r="D30" s="106">
        <v>0</v>
      </c>
      <c r="E30" s="97"/>
    </row>
    <row r="31" spans="1:10" s="63" customFormat="1" ht="15" customHeight="1" thickBot="1" x14ac:dyDescent="0.25">
      <c r="A31" s="86"/>
      <c r="B31" s="87" t="s">
        <v>174</v>
      </c>
      <c r="C31" s="88"/>
      <c r="D31" s="89">
        <f>D26+D28+D29+D30</f>
        <v>5721631.6521831797</v>
      </c>
      <c r="E31" s="109"/>
      <c r="F31" s="26"/>
      <c r="G31" s="26"/>
      <c r="H31" s="26"/>
      <c r="I31" s="26"/>
      <c r="J31" s="26"/>
    </row>
    <row r="32" spans="1:10" ht="21" customHeight="1" thickBot="1" x14ac:dyDescent="0.25"/>
    <row r="33" spans="1:10" s="59" customFormat="1" ht="13.5" thickBot="1" x14ac:dyDescent="0.25">
      <c r="A33" s="90" t="s">
        <v>189</v>
      </c>
      <c r="B33" s="64"/>
      <c r="C33" s="91"/>
      <c r="D33" s="107">
        <f>1561748*40</f>
        <v>62469920</v>
      </c>
      <c r="E33" s="98"/>
      <c r="F33" s="26"/>
      <c r="G33" s="26"/>
      <c r="H33" s="26"/>
      <c r="I33" s="26"/>
      <c r="J33" s="26"/>
    </row>
    <row r="34" spans="1:10" ht="13.5" thickBot="1" x14ac:dyDescent="0.25">
      <c r="D34" s="80"/>
    </row>
    <row r="35" spans="1:10" s="59" customFormat="1" ht="13.5" thickBot="1" x14ac:dyDescent="0.25">
      <c r="A35" s="90" t="s">
        <v>171</v>
      </c>
      <c r="B35" s="111"/>
      <c r="C35" s="91"/>
      <c r="D35" s="148">
        <f>D31/D33</f>
        <v>9.1590186960111036E-2</v>
      </c>
      <c r="E35" s="98"/>
      <c r="F35" s="26"/>
      <c r="G35" s="26"/>
      <c r="H35" s="26"/>
      <c r="I35" s="26"/>
      <c r="J35" s="26"/>
    </row>
    <row r="36" spans="1:10" ht="13.5" thickBot="1" x14ac:dyDescent="0.25">
      <c r="D36" s="68"/>
      <c r="E36" s="92"/>
    </row>
    <row r="37" spans="1:10" s="59" customFormat="1" ht="13.5" thickBot="1" x14ac:dyDescent="0.25">
      <c r="A37" s="90" t="s">
        <v>175</v>
      </c>
      <c r="B37" s="111"/>
      <c r="C37" s="91"/>
      <c r="D37" s="107">
        <f>D35*1000</f>
        <v>91.590186960111041</v>
      </c>
      <c r="E37" s="98"/>
      <c r="F37" s="26"/>
      <c r="G37" s="26"/>
      <c r="H37" s="26"/>
      <c r="I37" s="26"/>
      <c r="J37" s="26"/>
    </row>
    <row r="38" spans="1:10" x14ac:dyDescent="0.2">
      <c r="B38" s="2" t="s">
        <v>200</v>
      </c>
      <c r="C38" s="150" t="s">
        <v>201</v>
      </c>
    </row>
    <row r="39" spans="1:10" x14ac:dyDescent="0.2">
      <c r="B39" s="2" t="s">
        <v>202</v>
      </c>
      <c r="C39" s="150" t="s">
        <v>203</v>
      </c>
    </row>
    <row r="41" spans="1:10" x14ac:dyDescent="0.2">
      <c r="D41" s="80"/>
      <c r="E41" s="80"/>
    </row>
    <row r="42" spans="1:10" x14ac:dyDescent="0.2">
      <c r="D42" s="80"/>
      <c r="E42" s="80"/>
    </row>
  </sheetData>
  <mergeCells count="2">
    <mergeCell ref="B2:D2"/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D65DC-3F43-4A97-91CD-C01011DEF0C4}">
  <dimension ref="A1:Q193"/>
  <sheetViews>
    <sheetView zoomScale="122" zoomScaleNormal="122" workbookViewId="0">
      <selection activeCell="A41" sqref="A41:XFD41"/>
    </sheetView>
  </sheetViews>
  <sheetFormatPr defaultRowHeight="12.75" x14ac:dyDescent="0.2"/>
  <cols>
    <col min="1" max="1" width="36.33203125" customWidth="1"/>
    <col min="2" max="2" width="14" customWidth="1"/>
    <col min="3" max="3" width="18.33203125" customWidth="1"/>
    <col min="4" max="4" width="17.33203125" customWidth="1"/>
    <col min="5" max="5" width="16.5" customWidth="1"/>
    <col min="6" max="6" width="15.1640625" customWidth="1"/>
    <col min="7" max="7" width="14.33203125" customWidth="1"/>
    <col min="8" max="8" width="14.83203125" customWidth="1"/>
    <col min="10" max="10" width="12.6640625" bestFit="1" customWidth="1"/>
    <col min="11" max="11" width="9.6640625" bestFit="1" customWidth="1"/>
    <col min="12" max="12" width="9.6640625" style="27" bestFit="1" customWidth="1"/>
    <col min="17" max="17" width="12.6640625" bestFit="1" customWidth="1"/>
  </cols>
  <sheetData>
    <row r="1" spans="1:12" s="3" customFormat="1" ht="25.5" customHeight="1" x14ac:dyDescent="0.2">
      <c r="A1" s="153" t="s">
        <v>205</v>
      </c>
      <c r="B1" s="153"/>
      <c r="C1" s="153"/>
      <c r="D1" s="153"/>
      <c r="E1" s="153"/>
      <c r="F1" s="153"/>
      <c r="G1" s="153"/>
      <c r="H1" s="153"/>
      <c r="L1" s="25"/>
    </row>
    <row r="2" spans="1:12" s="3" customFormat="1" ht="12" thickBot="1" x14ac:dyDescent="0.25">
      <c r="G2" s="37" t="s">
        <v>100</v>
      </c>
      <c r="H2" s="9" t="s">
        <v>101</v>
      </c>
      <c r="L2" s="25"/>
    </row>
    <row r="3" spans="1:12" s="3" customFormat="1" ht="12" thickBot="1" x14ac:dyDescent="0.25">
      <c r="A3" s="9" t="s">
        <v>20</v>
      </c>
      <c r="B3" s="9"/>
      <c r="C3" s="9"/>
      <c r="D3" s="9"/>
      <c r="E3" s="9"/>
      <c r="F3" s="9"/>
      <c r="G3" s="36">
        <v>1561748</v>
      </c>
      <c r="H3" s="36">
        <f>G3/1000</f>
        <v>1561.748</v>
      </c>
      <c r="L3" s="25"/>
    </row>
    <row r="4" spans="1:12" s="3" customFormat="1" ht="12" thickBot="1" x14ac:dyDescent="0.25">
      <c r="A4" s="9" t="s">
        <v>21</v>
      </c>
      <c r="B4" s="9"/>
      <c r="C4" s="9"/>
      <c r="D4" s="9"/>
      <c r="E4" s="9"/>
      <c r="F4" s="9"/>
      <c r="G4" s="9"/>
      <c r="H4" s="9"/>
      <c r="L4" s="25"/>
    </row>
    <row r="5" spans="1:12" s="3" customFormat="1" ht="11.25" x14ac:dyDescent="0.2">
      <c r="A5" s="10" t="s">
        <v>22</v>
      </c>
      <c r="B5" s="11" t="s">
        <v>23</v>
      </c>
      <c r="C5" s="11" t="s">
        <v>24</v>
      </c>
      <c r="D5" s="11" t="s">
        <v>26</v>
      </c>
      <c r="E5" s="11" t="s">
        <v>24</v>
      </c>
      <c r="F5" s="11" t="s">
        <v>29</v>
      </c>
      <c r="G5" s="11" t="s">
        <v>76</v>
      </c>
      <c r="H5" s="12" t="s">
        <v>32</v>
      </c>
      <c r="J5" s="37"/>
      <c r="L5" s="25"/>
    </row>
    <row r="6" spans="1:12" s="3" customFormat="1" ht="12" thickBot="1" x14ac:dyDescent="0.25">
      <c r="A6" s="126"/>
      <c r="B6" s="127"/>
      <c r="C6" s="127" t="s">
        <v>25</v>
      </c>
      <c r="D6" s="127" t="s">
        <v>27</v>
      </c>
      <c r="E6" s="127" t="s">
        <v>28</v>
      </c>
      <c r="F6" s="127" t="s">
        <v>30</v>
      </c>
      <c r="G6" s="127" t="s">
        <v>163</v>
      </c>
      <c r="H6" s="128"/>
      <c r="L6" s="25"/>
    </row>
    <row r="7" spans="1:12" s="3" customFormat="1" ht="11.25" x14ac:dyDescent="0.2">
      <c r="A7" s="19" t="s">
        <v>98</v>
      </c>
      <c r="B7" s="138">
        <v>2</v>
      </c>
      <c r="C7" s="138">
        <v>0</v>
      </c>
      <c r="D7" s="138">
        <v>0</v>
      </c>
      <c r="E7" s="138">
        <v>12</v>
      </c>
      <c r="F7" s="138">
        <v>1920</v>
      </c>
      <c r="G7" s="138">
        <v>7.56</v>
      </c>
      <c r="H7" s="139">
        <f>B7*E7*F7*G7</f>
        <v>348364.79999999999</v>
      </c>
      <c r="J7" s="35"/>
      <c r="L7" s="25"/>
    </row>
    <row r="8" spans="1:12" s="3" customFormat="1" ht="11.25" x14ac:dyDescent="0.2">
      <c r="A8" s="7" t="s">
        <v>119</v>
      </c>
      <c r="B8" s="140">
        <v>1</v>
      </c>
      <c r="C8" s="140">
        <v>0</v>
      </c>
      <c r="D8" s="140">
        <v>0</v>
      </c>
      <c r="E8" s="140">
        <v>8</v>
      </c>
      <c r="F8" s="140">
        <v>320</v>
      </c>
      <c r="G8" s="140">
        <v>7.56</v>
      </c>
      <c r="H8" s="141">
        <f>B8*E8*F8*G8</f>
        <v>19353.599999999999</v>
      </c>
      <c r="J8" s="35"/>
      <c r="L8" s="25"/>
    </row>
    <row r="9" spans="1:12" s="3" customFormat="1" ht="11.25" x14ac:dyDescent="0.2">
      <c r="A9" s="7" t="s">
        <v>181</v>
      </c>
      <c r="B9" s="140">
        <v>1</v>
      </c>
      <c r="C9" s="140">
        <v>0</v>
      </c>
      <c r="D9" s="140">
        <v>0</v>
      </c>
      <c r="E9" s="140">
        <v>8</v>
      </c>
      <c r="F9" s="140">
        <v>320</v>
      </c>
      <c r="G9" s="140">
        <v>7.56</v>
      </c>
      <c r="H9" s="141">
        <f>B9*E9*F9*G9</f>
        <v>19353.599999999999</v>
      </c>
      <c r="J9" s="35"/>
      <c r="L9" s="25"/>
    </row>
    <row r="10" spans="1:12" s="3" customFormat="1" ht="11.25" x14ac:dyDescent="0.2">
      <c r="A10" s="7" t="s">
        <v>122</v>
      </c>
      <c r="B10" s="140">
        <v>3</v>
      </c>
      <c r="C10" s="140">
        <v>0.1</v>
      </c>
      <c r="D10" s="140">
        <v>1</v>
      </c>
      <c r="E10" s="140">
        <v>1</v>
      </c>
      <c r="F10" s="140">
        <v>0.53</v>
      </c>
      <c r="G10" s="140">
        <v>1457.14</v>
      </c>
      <c r="H10" s="141">
        <f>B10*C10*E10*F10*G10</f>
        <v>231.68526000000006</v>
      </c>
      <c r="J10" s="35"/>
      <c r="L10" s="25"/>
    </row>
    <row r="11" spans="1:12" s="3" customFormat="1" ht="12" thickBot="1" x14ac:dyDescent="0.25">
      <c r="A11" s="8" t="s">
        <v>99</v>
      </c>
      <c r="B11" s="142">
        <v>3</v>
      </c>
      <c r="C11" s="142">
        <v>0.12</v>
      </c>
      <c r="D11" s="142">
        <v>1</v>
      </c>
      <c r="E11" s="142">
        <v>1</v>
      </c>
      <c r="F11" s="142">
        <v>0.53</v>
      </c>
      <c r="G11" s="142">
        <v>1050.42</v>
      </c>
      <c r="H11" s="143">
        <f>B11*E11*F11*G11*C11</f>
        <v>200.42013600000001</v>
      </c>
      <c r="L11" s="25"/>
    </row>
    <row r="12" spans="1:12" s="3" customFormat="1" ht="12" thickBot="1" x14ac:dyDescent="0.25">
      <c r="B12" s="35"/>
      <c r="C12" s="35"/>
      <c r="D12" s="35"/>
      <c r="E12" s="35"/>
      <c r="F12" s="35"/>
      <c r="G12" s="35"/>
      <c r="H12" s="125">
        <f>SUM(H7:H11)</f>
        <v>387504.10539599991</v>
      </c>
      <c r="J12" s="38"/>
      <c r="L12" s="38"/>
    </row>
    <row r="13" spans="1:12" s="3" customFormat="1" ht="11.25" x14ac:dyDescent="0.2">
      <c r="L13" s="25"/>
    </row>
    <row r="14" spans="1:12" s="3" customFormat="1" ht="12" thickBot="1" x14ac:dyDescent="0.25">
      <c r="A14" s="9" t="s">
        <v>33</v>
      </c>
      <c r="B14" s="9"/>
      <c r="C14" s="9"/>
      <c r="D14" s="9"/>
      <c r="E14" s="9"/>
      <c r="F14" s="9"/>
      <c r="G14" s="9"/>
      <c r="L14" s="25"/>
    </row>
    <row r="15" spans="1:12" s="3" customFormat="1" ht="11.25" x14ac:dyDescent="0.2">
      <c r="A15" s="10" t="s">
        <v>34</v>
      </c>
      <c r="B15" s="11" t="s">
        <v>23</v>
      </c>
      <c r="C15" s="11" t="s">
        <v>35</v>
      </c>
      <c r="D15" s="11" t="s">
        <v>36</v>
      </c>
      <c r="E15" s="11" t="s">
        <v>37</v>
      </c>
      <c r="F15" s="11" t="s">
        <v>38</v>
      </c>
      <c r="G15" s="12" t="s">
        <v>32</v>
      </c>
      <c r="J15" s="37"/>
      <c r="L15" s="25"/>
    </row>
    <row r="16" spans="1:12" s="3" customFormat="1" ht="11.25" x14ac:dyDescent="0.2">
      <c r="A16" s="17"/>
      <c r="B16" s="16"/>
      <c r="C16" s="16" t="s">
        <v>43</v>
      </c>
      <c r="D16" s="16" t="s">
        <v>46</v>
      </c>
      <c r="E16" s="16" t="s">
        <v>42</v>
      </c>
      <c r="F16" s="16" t="s">
        <v>41</v>
      </c>
      <c r="G16" s="18" t="s">
        <v>40</v>
      </c>
      <c r="L16" s="25"/>
    </row>
    <row r="17" spans="1:17" s="3" customFormat="1" ht="11.25" x14ac:dyDescent="0.2">
      <c r="A17" s="6" t="s">
        <v>177</v>
      </c>
      <c r="B17" s="30">
        <v>1</v>
      </c>
      <c r="C17" s="30">
        <v>2.5</v>
      </c>
      <c r="D17" s="30">
        <v>45</v>
      </c>
      <c r="E17" s="30">
        <f>C17*D17</f>
        <v>112.5</v>
      </c>
      <c r="F17" s="30">
        <v>0.84</v>
      </c>
      <c r="G17" s="31">
        <f>E17*F17</f>
        <v>94.5</v>
      </c>
      <c r="J17" s="35"/>
      <c r="L17" s="25"/>
    </row>
    <row r="18" spans="1:17" s="3" customFormat="1" ht="11.25" x14ac:dyDescent="0.2">
      <c r="A18" s="7" t="s">
        <v>185</v>
      </c>
      <c r="B18" s="32">
        <v>3</v>
      </c>
      <c r="C18" s="32">
        <v>15</v>
      </c>
      <c r="D18" s="32">
        <f>8*30.5</f>
        <v>244</v>
      </c>
      <c r="E18" s="32">
        <f>D18*C18</f>
        <v>3660</v>
      </c>
      <c r="F18" s="32">
        <v>0.84</v>
      </c>
      <c r="G18" s="31">
        <f>E18*F18</f>
        <v>3074.4</v>
      </c>
      <c r="L18" s="25"/>
    </row>
    <row r="19" spans="1:17" s="3" customFormat="1" ht="12" thickBot="1" x14ac:dyDescent="0.25">
      <c r="A19" s="8"/>
      <c r="B19" s="33"/>
      <c r="C19" s="33"/>
      <c r="D19" s="33"/>
      <c r="E19" s="33"/>
      <c r="F19" s="33"/>
      <c r="G19" s="34"/>
      <c r="L19" s="25"/>
    </row>
    <row r="20" spans="1:17" s="3" customFormat="1" ht="12" thickBot="1" x14ac:dyDescent="0.25">
      <c r="B20" s="35"/>
      <c r="C20" s="35"/>
      <c r="D20" s="35"/>
      <c r="E20" s="35"/>
      <c r="F20" s="35"/>
      <c r="G20" s="40">
        <f>SUM(G17:G19)</f>
        <v>3168.9</v>
      </c>
      <c r="J20" s="38"/>
      <c r="L20" s="38"/>
    </row>
    <row r="21" spans="1:17" s="3" customFormat="1" ht="11.25" x14ac:dyDescent="0.2">
      <c r="L21" s="25"/>
    </row>
    <row r="22" spans="1:17" s="3" customFormat="1" ht="11.25" x14ac:dyDescent="0.2">
      <c r="L22" s="25"/>
    </row>
    <row r="23" spans="1:17" s="3" customFormat="1" ht="12" thickBot="1" x14ac:dyDescent="0.25">
      <c r="A23" s="9" t="s">
        <v>49</v>
      </c>
      <c r="B23" s="9"/>
      <c r="C23" s="9"/>
      <c r="D23" s="9"/>
      <c r="E23" s="9"/>
      <c r="F23" s="9"/>
      <c r="G23" s="9"/>
      <c r="H23" s="9"/>
      <c r="L23" s="25"/>
      <c r="Q23" s="57"/>
    </row>
    <row r="24" spans="1:17" s="3" customFormat="1" ht="11.25" x14ac:dyDescent="0.2">
      <c r="A24" s="10" t="s">
        <v>44</v>
      </c>
      <c r="B24" s="11" t="s">
        <v>50</v>
      </c>
      <c r="C24" s="11" t="s">
        <v>51</v>
      </c>
      <c r="D24" s="11" t="s">
        <v>52</v>
      </c>
      <c r="E24" s="11" t="s">
        <v>47</v>
      </c>
      <c r="F24" s="12" t="s">
        <v>32</v>
      </c>
      <c r="J24" s="66"/>
      <c r="L24" s="25"/>
      <c r="Q24" s="57"/>
    </row>
    <row r="25" spans="1:17" s="3" customFormat="1" ht="12" thickBot="1" x14ac:dyDescent="0.25">
      <c r="A25" s="13"/>
      <c r="B25" s="14"/>
      <c r="C25" s="14" t="s">
        <v>45</v>
      </c>
      <c r="D25" s="14" t="s">
        <v>53</v>
      </c>
      <c r="E25" s="14" t="s">
        <v>48</v>
      </c>
      <c r="F25" s="15" t="s">
        <v>54</v>
      </c>
      <c r="L25" s="25"/>
      <c r="Q25" s="57"/>
    </row>
    <row r="26" spans="1:17" s="3" customFormat="1" ht="11.25" x14ac:dyDescent="0.2">
      <c r="A26" s="6" t="s">
        <v>98</v>
      </c>
      <c r="B26" s="42">
        <v>2</v>
      </c>
      <c r="C26" s="42">
        <v>2941.19</v>
      </c>
      <c r="D26" s="42">
        <v>1920</v>
      </c>
      <c r="E26" s="42">
        <f>C26/D26</f>
        <v>1.5318697916666666</v>
      </c>
      <c r="F26" s="41">
        <f>2*C26</f>
        <v>5882.38</v>
      </c>
      <c r="J26" s="35"/>
      <c r="L26" s="25"/>
      <c r="Q26" s="57"/>
    </row>
    <row r="27" spans="1:17" s="3" customFormat="1" ht="11.25" x14ac:dyDescent="0.2">
      <c r="A27" s="7" t="s">
        <v>181</v>
      </c>
      <c r="B27" s="43">
        <v>1</v>
      </c>
      <c r="C27" s="43">
        <v>840</v>
      </c>
      <c r="D27" s="43">
        <v>320</v>
      </c>
      <c r="E27" s="42">
        <f>C27/D27</f>
        <v>2.625</v>
      </c>
      <c r="F27" s="41">
        <f>C27</f>
        <v>840</v>
      </c>
      <c r="L27" s="25"/>
      <c r="Q27" s="57"/>
    </row>
    <row r="28" spans="1:17" s="3" customFormat="1" ht="11.25" x14ac:dyDescent="0.2">
      <c r="A28" s="7"/>
      <c r="B28" s="43"/>
      <c r="C28" s="43"/>
      <c r="D28" s="43"/>
      <c r="E28" s="43"/>
      <c r="F28" s="123"/>
      <c r="L28" s="25"/>
      <c r="Q28" s="57"/>
    </row>
    <row r="29" spans="1:17" s="3" customFormat="1" ht="11.25" x14ac:dyDescent="0.2">
      <c r="A29" s="7"/>
      <c r="B29" s="43"/>
      <c r="C29" s="43"/>
      <c r="D29" s="43"/>
      <c r="E29" s="43"/>
      <c r="F29" s="123"/>
      <c r="L29" s="25"/>
      <c r="Q29" s="137"/>
    </row>
    <row r="30" spans="1:17" s="3" customFormat="1" ht="12" thickBot="1" x14ac:dyDescent="0.25">
      <c r="A30" s="8"/>
      <c r="B30" s="44"/>
      <c r="C30" s="44"/>
      <c r="D30" s="44"/>
      <c r="E30" s="44"/>
      <c r="F30" s="124"/>
      <c r="L30" s="25"/>
      <c r="Q30" s="57"/>
    </row>
    <row r="31" spans="1:17" s="3" customFormat="1" ht="12" thickBot="1" x14ac:dyDescent="0.25">
      <c r="B31" s="58"/>
      <c r="C31" s="58"/>
      <c r="D31" s="58"/>
      <c r="E31" s="58"/>
      <c r="F31" s="40">
        <f>SUM(F26:F30)</f>
        <v>6722.38</v>
      </c>
      <c r="J31" s="38"/>
      <c r="L31" s="38"/>
      <c r="Q31" s="57"/>
    </row>
    <row r="32" spans="1:17" s="3" customFormat="1" ht="12" thickBot="1" x14ac:dyDescent="0.25">
      <c r="A32" s="9" t="s">
        <v>55</v>
      </c>
      <c r="L32" s="25"/>
    </row>
    <row r="33" spans="1:12" s="3" customFormat="1" ht="11.25" x14ac:dyDescent="0.2">
      <c r="A33" s="10" t="s">
        <v>56</v>
      </c>
      <c r="B33" s="11" t="s">
        <v>51</v>
      </c>
      <c r="C33" s="11" t="s">
        <v>58</v>
      </c>
      <c r="D33" s="12" t="s">
        <v>32</v>
      </c>
      <c r="J33" s="37"/>
      <c r="L33" s="25"/>
    </row>
    <row r="34" spans="1:12" s="3" customFormat="1" ht="12" thickBot="1" x14ac:dyDescent="0.25">
      <c r="A34" s="13"/>
      <c r="B34" s="14" t="s">
        <v>57</v>
      </c>
      <c r="C34" s="14"/>
      <c r="D34" s="15" t="s">
        <v>54</v>
      </c>
      <c r="J34" s="35"/>
      <c r="L34" s="25"/>
    </row>
    <row r="35" spans="1:12" s="3" customFormat="1" ht="11.25" x14ac:dyDescent="0.2">
      <c r="A35" s="6" t="s">
        <v>18</v>
      </c>
      <c r="B35" s="42">
        <v>438025.21</v>
      </c>
      <c r="C35" s="42">
        <v>4</v>
      </c>
      <c r="D35" s="41">
        <f>B35*C35</f>
        <v>1752100.84</v>
      </c>
      <c r="J35" s="35"/>
      <c r="L35" s="25"/>
    </row>
    <row r="36" spans="1:12" s="3" customFormat="1" ht="11.25" x14ac:dyDescent="0.2">
      <c r="A36" s="7" t="s">
        <v>17</v>
      </c>
      <c r="B36" s="43">
        <v>80042.02</v>
      </c>
      <c r="C36" s="43">
        <v>4</v>
      </c>
      <c r="D36" s="41">
        <f t="shared" ref="D36:D37" si="0">B36*C36</f>
        <v>320168.08</v>
      </c>
      <c r="J36" s="35"/>
      <c r="L36" s="25"/>
    </row>
    <row r="37" spans="1:12" s="3" customFormat="1" ht="22.5" x14ac:dyDescent="0.2">
      <c r="A37" s="39" t="s">
        <v>179</v>
      </c>
      <c r="B37" s="43">
        <f>4201.68*2/24</f>
        <v>350.14000000000004</v>
      </c>
      <c r="C37" s="43">
        <v>4</v>
      </c>
      <c r="D37" s="41">
        <f t="shared" si="0"/>
        <v>1400.5600000000002</v>
      </c>
      <c r="J37" s="35"/>
      <c r="L37" s="25"/>
    </row>
    <row r="38" spans="1:12" s="3" customFormat="1" ht="11.25" x14ac:dyDescent="0.2">
      <c r="A38" s="39"/>
      <c r="B38" s="43"/>
      <c r="C38" s="43"/>
      <c r="D38" s="41"/>
      <c r="J38" s="35"/>
      <c r="L38" s="25"/>
    </row>
    <row r="39" spans="1:12" s="3" customFormat="1" ht="12" thickBot="1" x14ac:dyDescent="0.25">
      <c r="A39" s="8"/>
      <c r="B39" s="44"/>
      <c r="C39" s="44"/>
      <c r="D39" s="41"/>
      <c r="J39" s="65"/>
      <c r="L39" s="25"/>
    </row>
    <row r="40" spans="1:12" s="3" customFormat="1" ht="12" thickBot="1" x14ac:dyDescent="0.25">
      <c r="D40" s="40">
        <f>SUM(D35:D39)</f>
        <v>2073669.4800000002</v>
      </c>
      <c r="F40" s="25"/>
      <c r="J40" s="38"/>
      <c r="L40" s="38"/>
    </row>
    <row r="41" spans="1:12" s="3" customFormat="1" ht="12" thickBot="1" x14ac:dyDescent="0.25">
      <c r="A41" s="9" t="s">
        <v>118</v>
      </c>
      <c r="L41" s="25"/>
    </row>
    <row r="42" spans="1:12" s="3" customFormat="1" ht="11.25" x14ac:dyDescent="0.2">
      <c r="A42" s="10" t="s">
        <v>56</v>
      </c>
      <c r="B42" s="11" t="s">
        <v>51</v>
      </c>
      <c r="C42" s="11" t="s">
        <v>58</v>
      </c>
      <c r="D42" s="12" t="s">
        <v>32</v>
      </c>
      <c r="L42" s="25"/>
    </row>
    <row r="43" spans="1:12" s="3" customFormat="1" ht="12" thickBot="1" x14ac:dyDescent="0.25">
      <c r="A43" s="13"/>
      <c r="B43" s="14" t="s">
        <v>59</v>
      </c>
      <c r="C43" s="14"/>
      <c r="D43" s="15" t="s">
        <v>54</v>
      </c>
      <c r="L43" s="25"/>
    </row>
    <row r="44" spans="1:12" s="3" customFormat="1" ht="11.25" x14ac:dyDescent="0.2">
      <c r="A44" s="19" t="s">
        <v>180</v>
      </c>
      <c r="B44" s="48">
        <v>840.34</v>
      </c>
      <c r="C44" s="48">
        <v>4</v>
      </c>
      <c r="D44" s="50">
        <f>B44*C44</f>
        <v>3361.36</v>
      </c>
      <c r="L44" s="25"/>
    </row>
    <row r="45" spans="1:12" s="3" customFormat="1" ht="12" thickBot="1" x14ac:dyDescent="0.25">
      <c r="A45" s="8"/>
      <c r="B45" s="132"/>
      <c r="C45" s="132"/>
      <c r="D45" s="133"/>
      <c r="L45" s="25"/>
    </row>
    <row r="46" spans="1:12" s="3" customFormat="1" ht="12" thickBot="1" x14ac:dyDescent="0.25">
      <c r="B46" s="57"/>
      <c r="C46" s="57"/>
      <c r="D46" s="125">
        <f>SUM(D44:D45)</f>
        <v>3361.36</v>
      </c>
      <c r="L46" s="25"/>
    </row>
    <row r="47" spans="1:12" s="3" customFormat="1" ht="11.25" x14ac:dyDescent="0.2">
      <c r="B47" s="57"/>
      <c r="C47" s="57"/>
      <c r="D47" s="110"/>
      <c r="L47" s="25"/>
    </row>
    <row r="48" spans="1:12" s="3" customFormat="1" ht="12" thickBot="1" x14ac:dyDescent="0.25">
      <c r="A48" s="9" t="s">
        <v>60</v>
      </c>
      <c r="L48" s="25"/>
    </row>
    <row r="49" spans="1:17" s="3" customFormat="1" ht="11.25" x14ac:dyDescent="0.2">
      <c r="A49" s="10" t="s">
        <v>56</v>
      </c>
      <c r="B49" s="11" t="s">
        <v>51</v>
      </c>
      <c r="C49" s="11" t="s">
        <v>61</v>
      </c>
      <c r="D49" s="12" t="s">
        <v>32</v>
      </c>
      <c r="J49" s="37"/>
      <c r="L49" s="25"/>
    </row>
    <row r="50" spans="1:17" s="3" customFormat="1" ht="12" thickBot="1" x14ac:dyDescent="0.25">
      <c r="A50" s="13"/>
      <c r="B50" s="14" t="s">
        <v>54</v>
      </c>
      <c r="C50" s="14"/>
      <c r="D50" s="15" t="s">
        <v>54</v>
      </c>
      <c r="L50" s="25"/>
    </row>
    <row r="51" spans="1:17" s="3" customFormat="1" ht="11.25" x14ac:dyDescent="0.2">
      <c r="A51" s="6" t="s">
        <v>98</v>
      </c>
      <c r="B51" s="42">
        <v>2100.84</v>
      </c>
      <c r="C51" s="42">
        <v>2</v>
      </c>
      <c r="D51" s="41">
        <f>B51*C51</f>
        <v>4201.68</v>
      </c>
      <c r="L51" s="25"/>
    </row>
    <row r="52" spans="1:17" s="3" customFormat="1" ht="11.25" x14ac:dyDescent="0.2">
      <c r="A52" s="7" t="s">
        <v>165</v>
      </c>
      <c r="B52" s="43">
        <v>840.34</v>
      </c>
      <c r="C52" s="43">
        <v>2</v>
      </c>
      <c r="D52" s="41">
        <f>B52*C52</f>
        <v>1680.68</v>
      </c>
      <c r="J52" s="35"/>
      <c r="L52" s="25"/>
    </row>
    <row r="53" spans="1:17" s="3" customFormat="1" ht="11.25" x14ac:dyDescent="0.2">
      <c r="A53" s="7"/>
      <c r="B53" s="43"/>
      <c r="C53" s="43"/>
      <c r="D53" s="123"/>
      <c r="J53" s="35"/>
      <c r="L53" s="25"/>
    </row>
    <row r="54" spans="1:17" s="3" customFormat="1" ht="12" thickBot="1" x14ac:dyDescent="0.25">
      <c r="A54" s="8"/>
      <c r="B54" s="44"/>
      <c r="C54" s="44"/>
      <c r="D54" s="124"/>
      <c r="J54" s="35"/>
      <c r="L54" s="25"/>
    </row>
    <row r="55" spans="1:17" s="3" customFormat="1" ht="12" thickBot="1" x14ac:dyDescent="0.25">
      <c r="B55" s="58"/>
      <c r="C55" s="58"/>
      <c r="D55" s="40">
        <f>SUM(D51:D54)</f>
        <v>5882.3600000000006</v>
      </c>
      <c r="J55" s="38"/>
      <c r="L55" s="38"/>
    </row>
    <row r="56" spans="1:17" s="3" customFormat="1" ht="12" thickBot="1" x14ac:dyDescent="0.25">
      <c r="A56" s="9" t="s">
        <v>192</v>
      </c>
      <c r="B56" s="9"/>
      <c r="C56" s="9"/>
      <c r="D56" s="9"/>
      <c r="E56" s="9"/>
      <c r="F56" s="9"/>
      <c r="G56" s="9"/>
      <c r="H56" s="9"/>
      <c r="L56" s="25"/>
      <c r="Q56" s="57"/>
    </row>
    <row r="57" spans="1:17" s="3" customFormat="1" ht="11.25" x14ac:dyDescent="0.2">
      <c r="A57" s="10" t="s">
        <v>44</v>
      </c>
      <c r="B57" s="11" t="s">
        <v>50</v>
      </c>
      <c r="C57" s="11" t="s">
        <v>193</v>
      </c>
      <c r="D57" s="11" t="s">
        <v>194</v>
      </c>
      <c r="E57" s="12" t="s">
        <v>195</v>
      </c>
      <c r="I57" s="66"/>
      <c r="K57" s="25"/>
      <c r="P57" s="57"/>
    </row>
    <row r="58" spans="1:17" s="3" customFormat="1" ht="12" thickBot="1" x14ac:dyDescent="0.25">
      <c r="A58" s="13"/>
      <c r="B58" s="14"/>
      <c r="C58" s="14" t="s">
        <v>197</v>
      </c>
      <c r="D58" s="14" t="s">
        <v>196</v>
      </c>
      <c r="E58" s="15" t="s">
        <v>54</v>
      </c>
      <c r="K58" s="25"/>
      <c r="P58" s="57"/>
    </row>
    <row r="59" spans="1:17" s="3" customFormat="1" ht="11.25" x14ac:dyDescent="0.2">
      <c r="A59" s="6" t="s">
        <v>119</v>
      </c>
      <c r="B59" s="42">
        <v>1</v>
      </c>
      <c r="C59" s="42">
        <v>594882</v>
      </c>
      <c r="D59" s="42">
        <v>96</v>
      </c>
      <c r="E59" s="41">
        <f>C59/D59*4</f>
        <v>24786.75</v>
      </c>
      <c r="I59" s="35"/>
      <c r="K59" s="25"/>
      <c r="P59" s="57"/>
    </row>
    <row r="60" spans="1:17" s="3" customFormat="1" ht="11.25" x14ac:dyDescent="0.2">
      <c r="A60" s="7"/>
      <c r="B60" s="43"/>
      <c r="C60" s="43"/>
      <c r="D60" s="43"/>
      <c r="E60" s="41"/>
      <c r="K60" s="25"/>
      <c r="P60" s="57"/>
    </row>
    <row r="61" spans="1:17" s="3" customFormat="1" ht="12" thickBot="1" x14ac:dyDescent="0.25">
      <c r="A61" s="8"/>
      <c r="B61" s="44"/>
      <c r="C61" s="44"/>
      <c r="D61" s="44"/>
      <c r="E61" s="124"/>
      <c r="K61" s="25"/>
      <c r="P61" s="57"/>
    </row>
    <row r="62" spans="1:17" s="3" customFormat="1" ht="12" thickBot="1" x14ac:dyDescent="0.25">
      <c r="B62" s="58"/>
      <c r="C62" s="58"/>
      <c r="D62" s="58"/>
      <c r="E62" s="40">
        <f>SUM(E59:E61)</f>
        <v>24786.75</v>
      </c>
      <c r="J62" s="38"/>
      <c r="L62" s="38"/>
      <c r="Q62" s="57"/>
    </row>
    <row r="63" spans="1:17" s="9" customFormat="1" ht="10.5" x14ac:dyDescent="0.2">
      <c r="A63" s="9" t="s">
        <v>204</v>
      </c>
      <c r="B63" s="110"/>
      <c r="C63" s="110"/>
      <c r="D63" s="110"/>
      <c r="E63" s="110"/>
      <c r="J63" s="38"/>
      <c r="L63" s="38"/>
      <c r="Q63" s="136"/>
    </row>
    <row r="64" spans="1:17" s="3" customFormat="1" ht="11.25" x14ac:dyDescent="0.2">
      <c r="A64" s="3" t="s">
        <v>170</v>
      </c>
      <c r="B64" s="58"/>
      <c r="C64" s="58"/>
      <c r="D64" s="58"/>
      <c r="E64" s="110"/>
      <c r="J64" s="38"/>
      <c r="L64" s="38"/>
      <c r="Q64" s="57"/>
    </row>
    <row r="65" spans="1:17" s="3" customFormat="1" ht="11.25" x14ac:dyDescent="0.2">
      <c r="B65" s="58"/>
      <c r="C65" s="58"/>
      <c r="D65" s="58"/>
      <c r="E65" s="110"/>
      <c r="J65" s="38"/>
      <c r="L65" s="38"/>
      <c r="Q65" s="57"/>
    </row>
    <row r="66" spans="1:17" s="9" customFormat="1" ht="11.25" thickBot="1" x14ac:dyDescent="0.25">
      <c r="A66" s="9" t="s">
        <v>62</v>
      </c>
      <c r="B66" s="38"/>
      <c r="C66" s="38"/>
      <c r="D66" s="38"/>
      <c r="L66" s="25"/>
    </row>
    <row r="67" spans="1:17" s="3" customFormat="1" ht="11.25" x14ac:dyDescent="0.2">
      <c r="A67" s="10" t="s">
        <v>56</v>
      </c>
      <c r="B67" s="11" t="s">
        <v>31</v>
      </c>
      <c r="C67" s="11" t="s">
        <v>58</v>
      </c>
      <c r="D67" s="12" t="s">
        <v>32</v>
      </c>
      <c r="L67" s="25"/>
    </row>
    <row r="68" spans="1:17" s="3" customFormat="1" ht="12" thickBot="1" x14ac:dyDescent="0.25">
      <c r="A68" s="13"/>
      <c r="B68" s="14" t="s">
        <v>57</v>
      </c>
      <c r="C68" s="14"/>
      <c r="D68" s="15" t="s">
        <v>54</v>
      </c>
      <c r="L68" s="25"/>
    </row>
    <row r="69" spans="1:17" s="3" customFormat="1" ht="11.25" x14ac:dyDescent="0.2">
      <c r="A69" s="6" t="s">
        <v>170</v>
      </c>
      <c r="B69" s="119"/>
      <c r="C69" s="119"/>
      <c r="D69" s="113"/>
      <c r="L69" s="25"/>
    </row>
    <row r="70" spans="1:17" s="3" customFormat="1" ht="11.25" x14ac:dyDescent="0.2">
      <c r="A70" s="7"/>
      <c r="B70" s="134"/>
      <c r="C70" s="134"/>
      <c r="D70" s="135"/>
      <c r="L70" s="25"/>
    </row>
    <row r="71" spans="1:17" s="3" customFormat="1" ht="12" thickBot="1" x14ac:dyDescent="0.25">
      <c r="A71" s="8"/>
      <c r="B71" s="132"/>
      <c r="C71" s="132"/>
      <c r="D71" s="133"/>
      <c r="L71" s="25"/>
    </row>
    <row r="72" spans="1:17" s="3" customFormat="1" ht="12" thickBot="1" x14ac:dyDescent="0.25">
      <c r="B72" s="57"/>
      <c r="C72" s="57"/>
      <c r="D72" s="40">
        <f>SUM(D69:D71)</f>
        <v>0</v>
      </c>
      <c r="L72" s="25"/>
    </row>
    <row r="73" spans="1:17" s="3" customFormat="1" ht="11.25" x14ac:dyDescent="0.2">
      <c r="D73" s="25"/>
      <c r="L73" s="25"/>
    </row>
    <row r="74" spans="1:17" s="3" customFormat="1" ht="12" thickBot="1" x14ac:dyDescent="0.25">
      <c r="A74" s="9" t="s">
        <v>63</v>
      </c>
      <c r="B74" s="9"/>
      <c r="C74" s="9"/>
      <c r="D74" s="9"/>
      <c r="L74" s="25"/>
    </row>
    <row r="75" spans="1:17" s="3" customFormat="1" ht="11.25" x14ac:dyDescent="0.2">
      <c r="A75" s="10" t="s">
        <v>56</v>
      </c>
      <c r="B75" s="11" t="s">
        <v>31</v>
      </c>
      <c r="C75" s="12" t="s">
        <v>32</v>
      </c>
      <c r="L75" s="25"/>
    </row>
    <row r="76" spans="1:17" s="3" customFormat="1" ht="12" thickBot="1" x14ac:dyDescent="0.25">
      <c r="A76" s="13"/>
      <c r="B76" s="14" t="s">
        <v>57</v>
      </c>
      <c r="C76" s="15" t="s">
        <v>54</v>
      </c>
      <c r="L76" s="25"/>
    </row>
    <row r="77" spans="1:17" s="3" customFormat="1" ht="11.25" x14ac:dyDescent="0.2">
      <c r="A77" s="6" t="s">
        <v>168</v>
      </c>
      <c r="B77" s="42">
        <f>654/1.19</f>
        <v>549.57983193277312</v>
      </c>
      <c r="C77" s="41">
        <f>B77*4</f>
        <v>2198.3193277310925</v>
      </c>
      <c r="L77" s="25"/>
    </row>
    <row r="78" spans="1:17" s="3" customFormat="1" ht="11.25" x14ac:dyDescent="0.2">
      <c r="A78" s="6" t="s">
        <v>169</v>
      </c>
      <c r="B78" s="42">
        <v>450</v>
      </c>
      <c r="C78" s="41">
        <f>450*3</f>
        <v>1350</v>
      </c>
      <c r="L78" s="25"/>
    </row>
    <row r="79" spans="1:17" s="3" customFormat="1" ht="11.25" x14ac:dyDescent="0.2">
      <c r="A79" s="6" t="s">
        <v>188</v>
      </c>
      <c r="B79" s="42">
        <v>110</v>
      </c>
      <c r="C79" s="41">
        <f>B79*12</f>
        <v>1320</v>
      </c>
      <c r="L79" s="25"/>
    </row>
    <row r="80" spans="1:17" s="3" customFormat="1" ht="11.25" x14ac:dyDescent="0.2">
      <c r="A80" s="7"/>
      <c r="B80" s="43"/>
      <c r="C80" s="123"/>
      <c r="L80" s="25"/>
    </row>
    <row r="81" spans="1:12" s="3" customFormat="1" ht="12" thickBot="1" x14ac:dyDescent="0.25">
      <c r="A81" s="8"/>
      <c r="B81" s="44"/>
      <c r="C81" s="124"/>
      <c r="L81" s="25"/>
    </row>
    <row r="82" spans="1:12" s="3" customFormat="1" ht="12" thickBot="1" x14ac:dyDescent="0.25">
      <c r="B82" s="57"/>
      <c r="C82" s="40">
        <f>SUM(C77:C81)</f>
        <v>4868.3193277310929</v>
      </c>
      <c r="L82" s="25"/>
    </row>
    <row r="83" spans="1:12" s="3" customFormat="1" ht="12" thickBot="1" x14ac:dyDescent="0.25">
      <c r="A83" s="9" t="s">
        <v>198</v>
      </c>
      <c r="B83" s="136"/>
      <c r="C83" s="136"/>
      <c r="D83" s="9"/>
      <c r="L83" s="25"/>
    </row>
    <row r="84" spans="1:12" s="3" customFormat="1" ht="11.25" x14ac:dyDescent="0.2">
      <c r="A84" s="10" t="s">
        <v>56</v>
      </c>
      <c r="B84" s="11" t="s">
        <v>64</v>
      </c>
      <c r="C84" s="11" t="s">
        <v>65</v>
      </c>
      <c r="D84" s="11" t="s">
        <v>67</v>
      </c>
      <c r="E84" s="12" t="s">
        <v>32</v>
      </c>
      <c r="J84" s="37"/>
      <c r="L84" s="25"/>
    </row>
    <row r="85" spans="1:12" s="3" customFormat="1" ht="12" thickBot="1" x14ac:dyDescent="0.25">
      <c r="A85" s="13"/>
      <c r="B85" s="14"/>
      <c r="C85" s="14" t="s">
        <v>66</v>
      </c>
      <c r="D85" s="14" t="s">
        <v>121</v>
      </c>
      <c r="E85" s="15" t="s">
        <v>54</v>
      </c>
      <c r="J85" s="35"/>
      <c r="L85" s="25"/>
    </row>
    <row r="86" spans="1:12" s="3" customFormat="1" ht="11.25" x14ac:dyDescent="0.2">
      <c r="A86" s="45" t="s">
        <v>120</v>
      </c>
      <c r="B86" s="48">
        <v>6</v>
      </c>
      <c r="C86" s="49">
        <f>3641</f>
        <v>3641</v>
      </c>
      <c r="D86" s="49">
        <v>96</v>
      </c>
      <c r="E86" s="50">
        <f>C86/D86*4</f>
        <v>151.70833333333334</v>
      </c>
      <c r="L86" s="25"/>
    </row>
    <row r="87" spans="1:12" s="3" customFormat="1" ht="11.25" x14ac:dyDescent="0.2">
      <c r="A87" s="51"/>
      <c r="B87" s="42"/>
      <c r="C87" s="52"/>
      <c r="D87" s="52"/>
      <c r="E87" s="41"/>
      <c r="L87" s="25"/>
    </row>
    <row r="88" spans="1:12" s="3" customFormat="1" ht="11.25" x14ac:dyDescent="0.2">
      <c r="A88" s="51"/>
      <c r="B88" s="42"/>
      <c r="C88" s="52"/>
      <c r="D88" s="52"/>
      <c r="E88" s="41"/>
      <c r="L88" s="25"/>
    </row>
    <row r="89" spans="1:12" s="3" customFormat="1" ht="11.25" x14ac:dyDescent="0.2">
      <c r="A89" s="144"/>
      <c r="B89" s="145"/>
      <c r="C89" s="146"/>
      <c r="D89" s="146"/>
      <c r="E89" s="147"/>
      <c r="L89" s="25"/>
    </row>
    <row r="90" spans="1:12" s="3" customFormat="1" ht="12" thickBot="1" x14ac:dyDescent="0.25">
      <c r="A90" s="53"/>
      <c r="B90" s="54"/>
      <c r="C90" s="55"/>
      <c r="D90" s="55"/>
      <c r="E90" s="56"/>
      <c r="L90" s="25"/>
    </row>
    <row r="91" spans="1:12" s="3" customFormat="1" ht="12" thickBot="1" x14ac:dyDescent="0.25">
      <c r="E91" s="36">
        <f>SUM(E86:E90)</f>
        <v>151.70833333333334</v>
      </c>
      <c r="J91" s="38"/>
      <c r="L91" s="38"/>
    </row>
    <row r="92" spans="1:12" s="3" customFormat="1" ht="11.25" x14ac:dyDescent="0.2">
      <c r="E92" s="38"/>
      <c r="J92" s="38"/>
      <c r="L92" s="38"/>
    </row>
    <row r="93" spans="1:12" s="3" customFormat="1" ht="12" thickBot="1" x14ac:dyDescent="0.25">
      <c r="A93" s="9" t="s">
        <v>74</v>
      </c>
      <c r="B93" s="9"/>
      <c r="C93" s="9"/>
      <c r="D93" s="9"/>
      <c r="L93" s="25"/>
    </row>
    <row r="94" spans="1:12" s="3" customFormat="1" ht="11.25" x14ac:dyDescent="0.2">
      <c r="A94" s="10" t="s">
        <v>68</v>
      </c>
      <c r="B94" s="11" t="s">
        <v>26</v>
      </c>
      <c r="C94" s="11" t="s">
        <v>70</v>
      </c>
      <c r="D94" s="11" t="s">
        <v>72</v>
      </c>
      <c r="E94" s="11" t="s">
        <v>73</v>
      </c>
      <c r="F94" s="12" t="s">
        <v>32</v>
      </c>
      <c r="L94" s="25"/>
    </row>
    <row r="95" spans="1:12" s="3" customFormat="1" ht="12" thickBot="1" x14ac:dyDescent="0.25">
      <c r="A95" s="13"/>
      <c r="B95" s="14" t="s">
        <v>69</v>
      </c>
      <c r="C95" s="14" t="s">
        <v>71</v>
      </c>
      <c r="D95" s="14" t="s">
        <v>2</v>
      </c>
      <c r="E95" s="14"/>
      <c r="F95" s="15" t="s">
        <v>54</v>
      </c>
      <c r="L95" s="25"/>
    </row>
    <row r="96" spans="1:12" s="3" customFormat="1" ht="11.25" x14ac:dyDescent="0.2">
      <c r="A96" s="45" t="s">
        <v>162</v>
      </c>
      <c r="B96" s="48">
        <v>9</v>
      </c>
      <c r="C96" s="49">
        <v>176</v>
      </c>
      <c r="D96" s="49">
        <v>40.200000000000003</v>
      </c>
      <c r="E96" s="49">
        <v>4</v>
      </c>
      <c r="F96" s="50">
        <f>C96*B96*D96*4</f>
        <v>254707.20000000001</v>
      </c>
      <c r="L96" s="25"/>
    </row>
    <row r="97" spans="1:12" s="3" customFormat="1" ht="11.25" x14ac:dyDescent="0.2">
      <c r="A97" s="46"/>
      <c r="B97" s="42"/>
      <c r="C97" s="52"/>
      <c r="D97" s="52"/>
      <c r="E97" s="52"/>
      <c r="F97" s="41"/>
      <c r="L97" s="25"/>
    </row>
    <row r="98" spans="1:12" s="3" customFormat="1" ht="11.25" x14ac:dyDescent="0.2">
      <c r="A98" s="46"/>
      <c r="B98" s="42"/>
      <c r="C98" s="52"/>
      <c r="D98" s="52"/>
      <c r="E98" s="52"/>
      <c r="F98" s="41"/>
      <c r="L98" s="25"/>
    </row>
    <row r="99" spans="1:12" s="3" customFormat="1" ht="12" thickBot="1" x14ac:dyDescent="0.25">
      <c r="A99" s="47"/>
      <c r="B99" s="54"/>
      <c r="C99" s="55"/>
      <c r="D99" s="55"/>
      <c r="E99" s="55"/>
      <c r="F99" s="56"/>
      <c r="L99" s="25"/>
    </row>
    <row r="100" spans="1:12" s="3" customFormat="1" ht="12" thickBot="1" x14ac:dyDescent="0.25">
      <c r="A100" s="57"/>
      <c r="B100" s="58"/>
      <c r="C100" s="58"/>
      <c r="D100" s="58"/>
      <c r="E100" s="58"/>
      <c r="F100" s="40">
        <f>SUM(F96:F99)</f>
        <v>254707.20000000001</v>
      </c>
      <c r="L100" s="25"/>
    </row>
    <row r="101" spans="1:12" s="3" customFormat="1" ht="11.25" x14ac:dyDescent="0.2">
      <c r="F101" s="25"/>
      <c r="L101" s="25"/>
    </row>
    <row r="102" spans="1:12" s="3" customFormat="1" ht="12" thickBot="1" x14ac:dyDescent="0.25">
      <c r="A102" s="9"/>
      <c r="B102" s="9"/>
      <c r="C102" s="9"/>
      <c r="D102" s="9"/>
      <c r="L102" s="25"/>
    </row>
    <row r="103" spans="1:12" s="3" customFormat="1" ht="11.25" x14ac:dyDescent="0.2">
      <c r="A103" s="10" t="s">
        <v>56</v>
      </c>
      <c r="B103" s="11" t="s">
        <v>26</v>
      </c>
      <c r="C103" s="11" t="s">
        <v>76</v>
      </c>
      <c r="D103" s="12" t="s">
        <v>32</v>
      </c>
      <c r="L103" s="25"/>
    </row>
    <row r="104" spans="1:12" s="3" customFormat="1" ht="12" thickBot="1" x14ac:dyDescent="0.25">
      <c r="A104" s="13"/>
      <c r="B104" s="14" t="s">
        <v>103</v>
      </c>
      <c r="C104" s="14" t="s">
        <v>77</v>
      </c>
      <c r="D104" s="15" t="s">
        <v>54</v>
      </c>
      <c r="L104" s="25"/>
    </row>
    <row r="105" spans="1:12" s="3" customFormat="1" ht="11.25" x14ac:dyDescent="0.2">
      <c r="A105" s="19" t="s">
        <v>102</v>
      </c>
      <c r="B105" s="48">
        <v>9</v>
      </c>
      <c r="C105" s="49">
        <v>347</v>
      </c>
      <c r="D105" s="50">
        <f>C105*B105*4</f>
        <v>12492</v>
      </c>
      <c r="L105" s="25"/>
    </row>
    <row r="106" spans="1:12" s="3" customFormat="1" ht="11.25" x14ac:dyDescent="0.2">
      <c r="A106" s="6" t="s">
        <v>190</v>
      </c>
      <c r="B106" s="42">
        <v>4</v>
      </c>
      <c r="C106" s="52">
        <v>2240</v>
      </c>
      <c r="D106" s="41">
        <f>C106*B106</f>
        <v>8960</v>
      </c>
      <c r="L106" s="25"/>
    </row>
    <row r="107" spans="1:12" s="3" customFormat="1" ht="11.25" x14ac:dyDescent="0.2">
      <c r="A107" s="6"/>
      <c r="B107" s="42"/>
      <c r="C107" s="52"/>
      <c r="D107" s="41"/>
      <c r="L107" s="25"/>
    </row>
    <row r="108" spans="1:12" s="3" customFormat="1" ht="12" thickBot="1" x14ac:dyDescent="0.25">
      <c r="A108" s="22"/>
      <c r="B108" s="54"/>
      <c r="C108" s="55"/>
      <c r="D108" s="56"/>
      <c r="L108" s="25"/>
    </row>
    <row r="109" spans="1:12" s="3" customFormat="1" ht="12" thickBot="1" x14ac:dyDescent="0.25">
      <c r="B109" s="57"/>
      <c r="C109" s="57"/>
      <c r="D109" s="40">
        <f>SUM(D105:D108)</f>
        <v>21452</v>
      </c>
      <c r="F109" s="25"/>
      <c r="L109" s="25"/>
    </row>
    <row r="110" spans="1:12" ht="13.5" thickBot="1" x14ac:dyDescent="0.25">
      <c r="B110" s="62"/>
      <c r="C110" s="62"/>
      <c r="D110" s="62"/>
    </row>
    <row r="111" spans="1:12" x14ac:dyDescent="0.2">
      <c r="A111" s="10" t="s">
        <v>56</v>
      </c>
      <c r="B111" s="11" t="s">
        <v>78</v>
      </c>
      <c r="C111" s="12" t="s">
        <v>32</v>
      </c>
    </row>
    <row r="112" spans="1:12" ht="13.5" thickBot="1" x14ac:dyDescent="0.25">
      <c r="A112" s="13"/>
      <c r="B112" s="14" t="s">
        <v>96</v>
      </c>
      <c r="C112" s="15" t="s">
        <v>54</v>
      </c>
    </row>
    <row r="113" spans="1:12" x14ac:dyDescent="0.2">
      <c r="A113" s="19" t="s">
        <v>94</v>
      </c>
      <c r="B113" s="129"/>
      <c r="C113" s="50">
        <f>F100</f>
        <v>254707.20000000001</v>
      </c>
    </row>
    <row r="114" spans="1:12" x14ac:dyDescent="0.2">
      <c r="A114" s="6" t="s">
        <v>95</v>
      </c>
      <c r="B114" s="130">
        <v>2.25</v>
      </c>
      <c r="C114" s="41">
        <f>1401*4</f>
        <v>5604</v>
      </c>
    </row>
    <row r="115" spans="1:12" x14ac:dyDescent="0.2">
      <c r="A115" s="6" t="s">
        <v>97</v>
      </c>
      <c r="B115" s="130"/>
      <c r="C115" s="41">
        <f>D109</f>
        <v>21452</v>
      </c>
    </row>
    <row r="116" spans="1:12" x14ac:dyDescent="0.2">
      <c r="A116" s="6"/>
      <c r="B116" s="130"/>
      <c r="C116" s="41"/>
    </row>
    <row r="117" spans="1:12" ht="13.5" thickBot="1" x14ac:dyDescent="0.25">
      <c r="A117" s="22"/>
      <c r="B117" s="131"/>
      <c r="C117" s="56"/>
      <c r="K117" s="2"/>
    </row>
    <row r="118" spans="1:12" ht="13.5" thickBot="1" x14ac:dyDescent="0.25">
      <c r="A118" s="3"/>
      <c r="B118" s="57"/>
      <c r="C118" s="40">
        <f>SUM(C113:C117)</f>
        <v>281763.20000000001</v>
      </c>
      <c r="D118" s="25"/>
    </row>
    <row r="119" spans="1:12" x14ac:dyDescent="0.2">
      <c r="A119" s="3"/>
      <c r="B119" s="57"/>
      <c r="C119" s="110"/>
      <c r="D119" s="25"/>
    </row>
    <row r="120" spans="1:12" x14ac:dyDescent="0.2">
      <c r="A120" s="3"/>
      <c r="B120" s="57"/>
      <c r="C120" s="110"/>
      <c r="D120" s="25"/>
    </row>
    <row r="121" spans="1:12" x14ac:dyDescent="0.2">
      <c r="A121" s="3"/>
      <c r="B121" s="57"/>
      <c r="C121" s="110"/>
      <c r="D121" s="25"/>
    </row>
    <row r="123" spans="1:12" s="61" customFormat="1" x14ac:dyDescent="0.2">
      <c r="A123" s="61" t="s">
        <v>79</v>
      </c>
      <c r="L123" s="93"/>
    </row>
    <row r="124" spans="1:12" ht="13.5" thickBot="1" x14ac:dyDescent="0.25"/>
    <row r="125" spans="1:12" x14ac:dyDescent="0.2">
      <c r="A125" s="10" t="s">
        <v>56</v>
      </c>
      <c r="B125" s="11" t="s">
        <v>39</v>
      </c>
      <c r="C125" s="12" t="s">
        <v>32</v>
      </c>
    </row>
    <row r="126" spans="1:12" x14ac:dyDescent="0.2">
      <c r="A126" s="126"/>
      <c r="B126" s="127" t="s">
        <v>57</v>
      </c>
      <c r="C126" s="128" t="s">
        <v>54</v>
      </c>
    </row>
    <row r="127" spans="1:12" x14ac:dyDescent="0.2">
      <c r="A127" s="7" t="s">
        <v>166</v>
      </c>
      <c r="B127" s="43">
        <f>500/4</f>
        <v>125</v>
      </c>
      <c r="C127" s="123">
        <f t="shared" ref="C127" si="1">B127*4</f>
        <v>500</v>
      </c>
      <c r="J127" s="67"/>
      <c r="K127" s="2"/>
    </row>
    <row r="128" spans="1:12" ht="13.5" thickBot="1" x14ac:dyDescent="0.25">
      <c r="A128" s="8" t="s">
        <v>167</v>
      </c>
      <c r="B128" s="44">
        <v>558.33000000000004</v>
      </c>
      <c r="C128" s="124">
        <v>6700</v>
      </c>
    </row>
    <row r="129" spans="1:12" ht="13.5" thickBot="1" x14ac:dyDescent="0.25">
      <c r="A129" s="3"/>
      <c r="B129" s="58"/>
      <c r="C129" s="125">
        <f>SUM(C127:C128)</f>
        <v>7200</v>
      </c>
    </row>
    <row r="130" spans="1:12" x14ac:dyDescent="0.2">
      <c r="A130" s="3"/>
      <c r="B130" s="58"/>
      <c r="C130" s="110"/>
    </row>
    <row r="131" spans="1:12" x14ac:dyDescent="0.2">
      <c r="A131" s="3"/>
      <c r="B131" s="58"/>
      <c r="C131" s="110"/>
    </row>
    <row r="132" spans="1:12" x14ac:dyDescent="0.2">
      <c r="A132" s="3"/>
      <c r="B132" s="58"/>
      <c r="C132" s="110"/>
    </row>
    <row r="133" spans="1:12" x14ac:dyDescent="0.2">
      <c r="A133" s="3"/>
      <c r="B133" s="58"/>
      <c r="C133" s="110"/>
    </row>
    <row r="134" spans="1:12" x14ac:dyDescent="0.2">
      <c r="A134" s="3"/>
      <c r="B134" s="58"/>
      <c r="C134" s="110"/>
    </row>
    <row r="135" spans="1:12" x14ac:dyDescent="0.2">
      <c r="A135" s="26" t="s">
        <v>80</v>
      </c>
    </row>
    <row r="136" spans="1:12" ht="13.5" thickBot="1" x14ac:dyDescent="0.25"/>
    <row r="137" spans="1:12" s="3" customFormat="1" ht="12" thickBot="1" x14ac:dyDescent="0.25">
      <c r="A137" s="10" t="s">
        <v>81</v>
      </c>
      <c r="B137" s="11" t="s">
        <v>26</v>
      </c>
      <c r="C137" s="11" t="s">
        <v>105</v>
      </c>
      <c r="D137" s="11" t="s">
        <v>82</v>
      </c>
      <c r="E137" s="12" t="s">
        <v>32</v>
      </c>
      <c r="J137" s="37"/>
      <c r="L137" s="25"/>
    </row>
    <row r="138" spans="1:12" s="3" customFormat="1" ht="11.25" x14ac:dyDescent="0.2">
      <c r="A138" s="10"/>
      <c r="B138" s="11" t="s">
        <v>75</v>
      </c>
      <c r="C138" s="11" t="s">
        <v>113</v>
      </c>
      <c r="D138" s="11" t="s">
        <v>114</v>
      </c>
      <c r="E138" s="12" t="s">
        <v>54</v>
      </c>
      <c r="L138" s="25"/>
    </row>
    <row r="139" spans="1:12" s="3" customFormat="1" ht="11.25" x14ac:dyDescent="0.2">
      <c r="A139" s="7" t="s">
        <v>106</v>
      </c>
      <c r="B139" s="43">
        <v>4</v>
      </c>
      <c r="C139" s="43">
        <v>800</v>
      </c>
      <c r="D139" s="43">
        <v>200</v>
      </c>
      <c r="E139" s="123">
        <f t="shared" ref="E139:E148" si="2">C139*D139*4</f>
        <v>640000</v>
      </c>
      <c r="J139" s="35"/>
      <c r="L139" s="25"/>
    </row>
    <row r="140" spans="1:12" s="3" customFormat="1" ht="11.25" x14ac:dyDescent="0.2">
      <c r="A140" s="7" t="s">
        <v>107</v>
      </c>
      <c r="B140" s="43">
        <v>2</v>
      </c>
      <c r="C140" s="43">
        <v>960</v>
      </c>
      <c r="D140" s="43">
        <v>30</v>
      </c>
      <c r="E140" s="123">
        <f t="shared" si="2"/>
        <v>115200</v>
      </c>
      <c r="J140" s="35"/>
      <c r="L140" s="25"/>
    </row>
    <row r="141" spans="1:12" s="3" customFormat="1" ht="22.5" x14ac:dyDescent="0.2">
      <c r="A141" s="39" t="s">
        <v>108</v>
      </c>
      <c r="B141" s="43">
        <v>4</v>
      </c>
      <c r="C141" s="43">
        <v>800</v>
      </c>
      <c r="D141" s="43">
        <v>200</v>
      </c>
      <c r="E141" s="123">
        <f t="shared" si="2"/>
        <v>640000</v>
      </c>
      <c r="J141" s="35"/>
      <c r="L141" s="25"/>
    </row>
    <row r="142" spans="1:12" s="3" customFormat="1" ht="22.5" x14ac:dyDescent="0.2">
      <c r="A142" s="39" t="s">
        <v>111</v>
      </c>
      <c r="B142" s="43">
        <v>2</v>
      </c>
      <c r="C142" s="43">
        <v>960</v>
      </c>
      <c r="D142" s="43">
        <v>30</v>
      </c>
      <c r="E142" s="123">
        <f t="shared" si="2"/>
        <v>115200</v>
      </c>
      <c r="J142" s="35"/>
      <c r="L142" s="25"/>
    </row>
    <row r="143" spans="1:12" s="3" customFormat="1" ht="22.5" x14ac:dyDescent="0.2">
      <c r="A143" s="39" t="s">
        <v>109</v>
      </c>
      <c r="B143" s="43">
        <v>4</v>
      </c>
      <c r="C143" s="43">
        <v>800</v>
      </c>
      <c r="D143" s="43">
        <v>200</v>
      </c>
      <c r="E143" s="123">
        <f t="shared" si="2"/>
        <v>640000</v>
      </c>
      <c r="J143" s="35"/>
      <c r="L143" s="25"/>
    </row>
    <row r="144" spans="1:12" s="3" customFormat="1" ht="22.5" x14ac:dyDescent="0.2">
      <c r="A144" s="39" t="s">
        <v>110</v>
      </c>
      <c r="B144" s="43">
        <v>2</v>
      </c>
      <c r="C144" s="43">
        <v>960</v>
      </c>
      <c r="D144" s="43">
        <v>30</v>
      </c>
      <c r="E144" s="123">
        <f t="shared" si="2"/>
        <v>115200</v>
      </c>
      <c r="J144" s="35"/>
      <c r="L144" s="25"/>
    </row>
    <row r="145" spans="1:12" s="3" customFormat="1" ht="11.25" x14ac:dyDescent="0.2">
      <c r="A145" s="39" t="s">
        <v>112</v>
      </c>
      <c r="B145" s="43">
        <v>2</v>
      </c>
      <c r="C145" s="43">
        <v>320</v>
      </c>
      <c r="D145" s="43">
        <v>160</v>
      </c>
      <c r="E145" s="123">
        <f t="shared" si="2"/>
        <v>204800</v>
      </c>
      <c r="J145" s="35"/>
      <c r="L145" s="25"/>
    </row>
    <row r="146" spans="1:12" s="3" customFormat="1" ht="11.25" x14ac:dyDescent="0.2">
      <c r="A146" s="7" t="s">
        <v>115</v>
      </c>
      <c r="B146" s="43">
        <v>2</v>
      </c>
      <c r="C146" s="43">
        <v>320</v>
      </c>
      <c r="D146" s="43">
        <v>160</v>
      </c>
      <c r="E146" s="123">
        <f t="shared" si="2"/>
        <v>204800</v>
      </c>
      <c r="J146" s="35"/>
      <c r="L146" s="25"/>
    </row>
    <row r="147" spans="1:12" s="3" customFormat="1" ht="11.25" x14ac:dyDescent="0.2">
      <c r="A147" s="7" t="s">
        <v>116</v>
      </c>
      <c r="B147" s="43">
        <v>2</v>
      </c>
      <c r="C147" s="43">
        <v>320</v>
      </c>
      <c r="D147" s="43">
        <v>160</v>
      </c>
      <c r="E147" s="123">
        <f t="shared" si="2"/>
        <v>204800</v>
      </c>
      <c r="J147" s="35"/>
      <c r="L147" s="25"/>
    </row>
    <row r="148" spans="1:12" s="3" customFormat="1" ht="12" thickBot="1" x14ac:dyDescent="0.25">
      <c r="A148" s="8" t="s">
        <v>117</v>
      </c>
      <c r="B148" s="44">
        <v>1</v>
      </c>
      <c r="C148" s="44">
        <v>20</v>
      </c>
      <c r="D148" s="44">
        <v>200</v>
      </c>
      <c r="E148" s="124">
        <f t="shared" si="2"/>
        <v>16000</v>
      </c>
      <c r="J148" s="35"/>
      <c r="L148" s="25"/>
    </row>
    <row r="149" spans="1:12" s="3" customFormat="1" ht="12" thickBot="1" x14ac:dyDescent="0.25">
      <c r="B149" s="58"/>
      <c r="C149" s="58"/>
      <c r="D149" s="110"/>
      <c r="E149" s="125">
        <f>SUM(E139:E148)</f>
        <v>2896000</v>
      </c>
      <c r="F149" s="25"/>
      <c r="J149" s="38"/>
      <c r="L149" s="38"/>
    </row>
    <row r="150" spans="1:12" x14ac:dyDescent="0.2">
      <c r="A150" s="26" t="s">
        <v>199</v>
      </c>
    </row>
    <row r="151" spans="1:12" ht="13.5" thickBot="1" x14ac:dyDescent="0.25">
      <c r="A151" s="26"/>
    </row>
    <row r="152" spans="1:12" s="3" customFormat="1" ht="11.25" x14ac:dyDescent="0.2">
      <c r="A152" s="10" t="s">
        <v>83</v>
      </c>
      <c r="B152" s="11" t="s">
        <v>84</v>
      </c>
      <c r="C152" s="11" t="s">
        <v>76</v>
      </c>
      <c r="D152" s="12" t="s">
        <v>32</v>
      </c>
      <c r="L152" s="25"/>
    </row>
    <row r="153" spans="1:12" s="3" customFormat="1" ht="12" thickBot="1" x14ac:dyDescent="0.25">
      <c r="A153" s="13"/>
      <c r="B153" s="14" t="s">
        <v>85</v>
      </c>
      <c r="C153" s="14" t="s">
        <v>86</v>
      </c>
      <c r="D153" s="15" t="s">
        <v>54</v>
      </c>
      <c r="L153" s="25"/>
    </row>
    <row r="154" spans="1:12" s="3" customFormat="1" ht="11.25" x14ac:dyDescent="0.2">
      <c r="A154" s="19" t="s">
        <v>170</v>
      </c>
      <c r="B154" s="117"/>
      <c r="C154" s="118"/>
      <c r="D154" s="112"/>
      <c r="L154" s="25"/>
    </row>
    <row r="155" spans="1:12" s="3" customFormat="1" ht="11.25" x14ac:dyDescent="0.2">
      <c r="A155" s="6"/>
      <c r="B155" s="119"/>
      <c r="C155" s="120"/>
      <c r="D155" s="113"/>
      <c r="L155" s="25"/>
    </row>
    <row r="156" spans="1:12" s="3" customFormat="1" ht="11.25" x14ac:dyDescent="0.2">
      <c r="A156" s="6"/>
      <c r="B156" s="119"/>
      <c r="C156" s="120"/>
      <c r="D156" s="113"/>
      <c r="L156" s="25"/>
    </row>
    <row r="157" spans="1:12" s="3" customFormat="1" ht="12" thickBot="1" x14ac:dyDescent="0.25">
      <c r="A157" s="22"/>
      <c r="B157" s="121"/>
      <c r="C157" s="122"/>
      <c r="D157" s="114"/>
      <c r="L157" s="25"/>
    </row>
    <row r="158" spans="1:12" s="3" customFormat="1" ht="12" thickBot="1" x14ac:dyDescent="0.25">
      <c r="B158" s="57"/>
      <c r="C158" s="57"/>
      <c r="D158" s="40">
        <f>SUM(D154:D157)</f>
        <v>0</v>
      </c>
      <c r="F158" s="25"/>
      <c r="L158" s="25"/>
    </row>
    <row r="159" spans="1:12" ht="13.5" thickBot="1" x14ac:dyDescent="0.25">
      <c r="A159" s="26" t="s">
        <v>87</v>
      </c>
    </row>
    <row r="160" spans="1:12" s="3" customFormat="1" ht="11.25" x14ac:dyDescent="0.2">
      <c r="A160" s="10" t="s">
        <v>83</v>
      </c>
      <c r="B160" s="11" t="s">
        <v>88</v>
      </c>
      <c r="C160" s="11" t="s">
        <v>89</v>
      </c>
      <c r="D160" s="12" t="s">
        <v>32</v>
      </c>
      <c r="J160" s="37"/>
      <c r="L160" s="25"/>
    </row>
    <row r="161" spans="1:12" s="3" customFormat="1" ht="12" thickBot="1" x14ac:dyDescent="0.25">
      <c r="A161" s="13"/>
      <c r="B161" s="14" t="s">
        <v>1</v>
      </c>
      <c r="C161" s="14" t="s">
        <v>121</v>
      </c>
      <c r="D161" s="15" t="s">
        <v>54</v>
      </c>
      <c r="L161" s="25"/>
    </row>
    <row r="162" spans="1:12" s="3" customFormat="1" ht="11.25" x14ac:dyDescent="0.2">
      <c r="A162" s="19" t="s">
        <v>184</v>
      </c>
      <c r="B162" s="48">
        <v>7521</v>
      </c>
      <c r="C162" s="49">
        <v>4</v>
      </c>
      <c r="D162" s="50">
        <f>B162/3</f>
        <v>2507</v>
      </c>
      <c r="L162" s="25"/>
    </row>
    <row r="163" spans="1:12" s="3" customFormat="1" ht="11.25" x14ac:dyDescent="0.2">
      <c r="A163" s="60" t="s">
        <v>182</v>
      </c>
      <c r="B163" s="42">
        <v>5399</v>
      </c>
      <c r="C163" s="52">
        <v>4</v>
      </c>
      <c r="D163" s="41">
        <f>B163/3</f>
        <v>1799.6666666666667</v>
      </c>
      <c r="L163" s="25"/>
    </row>
    <row r="164" spans="1:12" s="3" customFormat="1" ht="11.25" x14ac:dyDescent="0.2">
      <c r="A164" s="60" t="s">
        <v>182</v>
      </c>
      <c r="B164" s="42">
        <v>4799</v>
      </c>
      <c r="C164" s="52">
        <v>4</v>
      </c>
      <c r="D164" s="41">
        <f>B164/3</f>
        <v>1599.6666666666667</v>
      </c>
      <c r="L164" s="25"/>
    </row>
    <row r="165" spans="1:12" s="3" customFormat="1" ht="11.25" x14ac:dyDescent="0.2">
      <c r="A165" s="60" t="s">
        <v>183</v>
      </c>
      <c r="B165" s="42">
        <v>4886</v>
      </c>
      <c r="C165" s="52">
        <v>4</v>
      </c>
      <c r="D165" s="41">
        <f t="shared" ref="D165:D166" si="3">B165/3</f>
        <v>1628.6666666666667</v>
      </c>
      <c r="L165" s="25"/>
    </row>
    <row r="166" spans="1:12" s="3" customFormat="1" ht="11.25" x14ac:dyDescent="0.2">
      <c r="A166" s="60" t="s">
        <v>183</v>
      </c>
      <c r="B166" s="42">
        <v>4518</v>
      </c>
      <c r="C166" s="52">
        <v>4</v>
      </c>
      <c r="D166" s="41">
        <f t="shared" si="3"/>
        <v>1506</v>
      </c>
      <c r="L166" s="25"/>
    </row>
    <row r="167" spans="1:12" s="3" customFormat="1" ht="11.25" x14ac:dyDescent="0.2">
      <c r="A167" s="6" t="s">
        <v>164</v>
      </c>
      <c r="B167" s="42">
        <v>220</v>
      </c>
      <c r="C167" s="52">
        <v>4</v>
      </c>
      <c r="D167" s="41">
        <f>B167/3</f>
        <v>73.333333333333329</v>
      </c>
      <c r="L167" s="25"/>
    </row>
    <row r="168" spans="1:12" s="3" customFormat="1" ht="11.25" x14ac:dyDescent="0.2">
      <c r="A168" s="6" t="s">
        <v>164</v>
      </c>
      <c r="B168" s="42">
        <v>220</v>
      </c>
      <c r="C168" s="52">
        <v>4</v>
      </c>
      <c r="D168" s="41">
        <f>B168/3</f>
        <v>73.333333333333329</v>
      </c>
      <c r="L168" s="25"/>
    </row>
    <row r="169" spans="1:12" s="3" customFormat="1" ht="11.25" x14ac:dyDescent="0.2">
      <c r="A169" s="6" t="s">
        <v>178</v>
      </c>
      <c r="B169" s="42">
        <v>5000</v>
      </c>
      <c r="C169" s="52">
        <v>4</v>
      </c>
      <c r="D169" s="41">
        <f>B169</f>
        <v>5000</v>
      </c>
      <c r="L169" s="25"/>
    </row>
    <row r="170" spans="1:12" s="3" customFormat="1" ht="12" thickBot="1" x14ac:dyDescent="0.25">
      <c r="A170" s="22" t="s">
        <v>186</v>
      </c>
      <c r="B170" s="54">
        <v>3780</v>
      </c>
      <c r="C170" s="55">
        <v>4</v>
      </c>
      <c r="D170" s="56">
        <f>B170/4</f>
        <v>945</v>
      </c>
      <c r="L170" s="25"/>
    </row>
    <row r="171" spans="1:12" s="3" customFormat="1" ht="12" thickBot="1" x14ac:dyDescent="0.25">
      <c r="B171" s="58"/>
      <c r="C171" s="58"/>
      <c r="D171" s="40">
        <f>SUM(D162:D170)</f>
        <v>15132.666666666668</v>
      </c>
      <c r="F171" s="25"/>
      <c r="L171" s="25"/>
    </row>
    <row r="172" spans="1:12" s="3" customFormat="1" ht="11.25" x14ac:dyDescent="0.2">
      <c r="D172" s="25"/>
      <c r="F172" s="25"/>
      <c r="L172" s="25"/>
    </row>
    <row r="173" spans="1:12" s="26" customFormat="1" x14ac:dyDescent="0.2">
      <c r="A173" s="26" t="s">
        <v>90</v>
      </c>
      <c r="D173" s="27"/>
      <c r="F173" s="27"/>
      <c r="L173" s="27"/>
    </row>
    <row r="174" spans="1:12" s="26" customFormat="1" x14ac:dyDescent="0.2">
      <c r="A174" s="26" t="s">
        <v>91</v>
      </c>
      <c r="L174" s="27"/>
    </row>
    <row r="175" spans="1:12" s="2" customFormat="1" x14ac:dyDescent="0.2">
      <c r="L175" s="27"/>
    </row>
    <row r="176" spans="1:12" ht="13.5" thickBot="1" x14ac:dyDescent="0.25"/>
    <row r="177" spans="1:12" s="3" customFormat="1" ht="11.25" x14ac:dyDescent="0.2">
      <c r="A177" s="10" t="s">
        <v>83</v>
      </c>
      <c r="B177" s="11" t="s">
        <v>88</v>
      </c>
      <c r="C177" s="11" t="s">
        <v>89</v>
      </c>
      <c r="D177" s="12" t="s">
        <v>32</v>
      </c>
      <c r="L177" s="25"/>
    </row>
    <row r="178" spans="1:12" s="3" customFormat="1" ht="12" thickBot="1" x14ac:dyDescent="0.25">
      <c r="A178" s="13"/>
      <c r="B178" s="14" t="s">
        <v>1</v>
      </c>
      <c r="C178" s="14" t="s">
        <v>53</v>
      </c>
      <c r="D178" s="15" t="s">
        <v>54</v>
      </c>
      <c r="L178" s="25"/>
    </row>
    <row r="179" spans="1:12" s="3" customFormat="1" ht="11.25" x14ac:dyDescent="0.2">
      <c r="A179" s="19" t="s">
        <v>170</v>
      </c>
      <c r="B179" s="20"/>
      <c r="C179" s="21"/>
      <c r="D179" s="50"/>
      <c r="L179" s="25"/>
    </row>
    <row r="180" spans="1:12" s="3" customFormat="1" ht="11.25" x14ac:dyDescent="0.2">
      <c r="A180" s="6"/>
      <c r="B180" s="4"/>
      <c r="C180" s="5"/>
      <c r="D180" s="41"/>
      <c r="L180" s="25"/>
    </row>
    <row r="181" spans="1:12" s="3" customFormat="1" ht="12" thickBot="1" x14ac:dyDescent="0.25">
      <c r="A181" s="22"/>
      <c r="B181" s="23"/>
      <c r="C181" s="24"/>
      <c r="D181" s="56"/>
      <c r="L181" s="25"/>
    </row>
    <row r="182" spans="1:12" s="3" customFormat="1" ht="12" thickBot="1" x14ac:dyDescent="0.25">
      <c r="D182" s="40">
        <f>SUM(D179:D181)</f>
        <v>0</v>
      </c>
      <c r="F182" s="25"/>
      <c r="L182" s="25"/>
    </row>
    <row r="183" spans="1:12" x14ac:dyDescent="0.2">
      <c r="D183" s="115"/>
      <c r="F183" s="62"/>
    </row>
    <row r="184" spans="1:12" ht="13.5" thickBot="1" x14ac:dyDescent="0.25">
      <c r="D184" s="115"/>
    </row>
    <row r="185" spans="1:12" s="3" customFormat="1" ht="12" thickBot="1" x14ac:dyDescent="0.25">
      <c r="A185" s="29" t="s">
        <v>173</v>
      </c>
      <c r="B185" s="28"/>
      <c r="C185" s="28"/>
      <c r="D185" s="116">
        <f>H12+G20+F31+D40+D46+D55+D72+C82+E91+C118+C129+E149+D158+D171+D182</f>
        <v>5685424.479723732</v>
      </c>
      <c r="L185" s="25"/>
    </row>
    <row r="186" spans="1:12" ht="13.5" thickBot="1" x14ac:dyDescent="0.25">
      <c r="D186" s="115"/>
    </row>
    <row r="187" spans="1:12" ht="13.5" thickBot="1" x14ac:dyDescent="0.25">
      <c r="A187" s="29" t="s">
        <v>92</v>
      </c>
      <c r="B187" s="28"/>
      <c r="C187" s="28"/>
      <c r="D187" s="116">
        <f>D185*5%</f>
        <v>284271.22398618661</v>
      </c>
    </row>
    <row r="188" spans="1:12" ht="13.5" thickBot="1" x14ac:dyDescent="0.25">
      <c r="D188" s="115"/>
    </row>
    <row r="189" spans="1:12" ht="13.5" thickBot="1" x14ac:dyDescent="0.25">
      <c r="A189" s="29" t="s">
        <v>93</v>
      </c>
      <c r="B189" s="28"/>
      <c r="C189" s="28"/>
      <c r="D189" s="116">
        <f>(D187+D185)*0.2%</f>
        <v>11939.391407419838</v>
      </c>
    </row>
    <row r="190" spans="1:12" ht="13.5" thickBot="1" x14ac:dyDescent="0.25">
      <c r="D190" s="115"/>
    </row>
    <row r="191" spans="1:12" ht="13.5" thickBot="1" x14ac:dyDescent="0.25">
      <c r="A191" s="29" t="s">
        <v>104</v>
      </c>
      <c r="B191" s="28"/>
      <c r="C191" s="28"/>
      <c r="D191" s="116">
        <v>0</v>
      </c>
    </row>
    <row r="192" spans="1:12" ht="13.5" thickBot="1" x14ac:dyDescent="0.25">
      <c r="D192" s="115"/>
    </row>
    <row r="193" spans="1:4" ht="13.5" thickBot="1" x14ac:dyDescent="0.25">
      <c r="A193" s="29" t="s">
        <v>176</v>
      </c>
      <c r="B193" s="28"/>
      <c r="C193" s="28"/>
      <c r="D193" s="116">
        <v>0</v>
      </c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Centralizator fara TVA</vt:lpstr>
      <vt:lpstr>Memoriu fundamentare fara TVA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Calin</dc:creator>
  <cp:lastModifiedBy>Laurentiu.Puscasu</cp:lastModifiedBy>
  <cp:lastPrinted>2022-09-26T10:21:51Z</cp:lastPrinted>
  <dcterms:created xsi:type="dcterms:W3CDTF">2022-09-15T10:00:34Z</dcterms:created>
  <dcterms:modified xsi:type="dcterms:W3CDTF">2022-09-26T11:50:38Z</dcterms:modified>
</cp:coreProperties>
</file>