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TRADAL_DESZAPEZIRE_UAT TG.MURES\2. IMPLEMENTARE CONTRACT\1. CORESPONDENTA UAT\AJUSTARE TARIF\14.04.2025\AJUSTARE tarif_total activitati\"/>
    </mc:Choice>
  </mc:AlternateContent>
  <xr:revisionPtr revIDLastSave="0" documentId="13_ncr:1_{44BDE973-2E2E-47F7-916C-8A39B55526B1}" xr6:coauthVersionLast="47" xr6:coauthVersionMax="47" xr10:uidLastSave="{00000000-0000-0000-0000-000000000000}"/>
  <bookViews>
    <workbookView xWindow="-120" yWindow="-120" windowWidth="29040" windowHeight="15720" xr2:uid="{29CCA1B1-2B72-4368-9F07-7A32922FD3ED}"/>
  </bookViews>
  <sheets>
    <sheet name="TARIFE ACTUALE_PROPUSE" sheetId="34" r:id="rId1"/>
    <sheet name="PROCENT CRESTERE" sheetId="33" r:id="rId2"/>
    <sheet name="t1" sheetId="3" r:id="rId3"/>
    <sheet name="t2" sheetId="4" r:id="rId4"/>
    <sheet name="t3" sheetId="5" r:id="rId5"/>
    <sheet name="t4" sheetId="6" r:id="rId6"/>
    <sheet name="t5" sheetId="7" r:id="rId7"/>
    <sheet name="t6" sheetId="8" r:id="rId8"/>
    <sheet name="t7" sheetId="9" r:id="rId9"/>
    <sheet name="t8" sheetId="10" r:id="rId10"/>
    <sheet name="t9" sheetId="11" r:id="rId11"/>
    <sheet name="t10" sheetId="12" r:id="rId12"/>
    <sheet name="t10.1" sheetId="13" r:id="rId13"/>
    <sheet name="t11" sheetId="14" r:id="rId14"/>
    <sheet name="t12" sheetId="15" r:id="rId15"/>
    <sheet name="t13" sheetId="16" r:id="rId16"/>
    <sheet name="t14" sheetId="17" r:id="rId17"/>
    <sheet name="t15" sheetId="18" r:id="rId18"/>
    <sheet name="t16" sheetId="19" r:id="rId19"/>
    <sheet name="t17" sheetId="20" r:id="rId20"/>
    <sheet name="t18" sheetId="21" r:id="rId21"/>
    <sheet name="t19" sheetId="22" r:id="rId22"/>
    <sheet name="t20" sheetId="23" r:id="rId23"/>
    <sheet name="t21" sheetId="24" r:id="rId24"/>
    <sheet name="t22" sheetId="25" r:id="rId25"/>
    <sheet name="t23" sheetId="26" r:id="rId26"/>
  </sheets>
  <definedNames>
    <definedName name="_Hlk122873121" localSheetId="1">'PROCENT CRESTERE'!$A$2</definedName>
    <definedName name="_REF30" localSheetId="2">'t1'!#REF!</definedName>
    <definedName name="_REF31" localSheetId="2">'t1'!#REF!</definedName>
    <definedName name="Auslastung50">#REF!</definedName>
    <definedName name="Auslastung75">#REF!</definedName>
    <definedName name="Beg_Bal">#REF!</definedName>
    <definedName name="Cum_Int">#REF!</definedName>
    <definedName name="Data">#REF!</definedName>
    <definedName name="End_Bal">#REF!</definedName>
    <definedName name="Extra_Pay">#REF!</definedName>
    <definedName name="Full_Print">#REF!</definedName>
    <definedName name="Header_Row">ROW(#REF!)</definedName>
    <definedName name="Int">#REF!</definedName>
    <definedName name="Interest_Rate">#REF!</definedName>
    <definedName name="Last_Row">IF(Values_Entered,Header_Row+Number_of_Payments,Header_Row)</definedName>
    <definedName name="Loan_Amount">#REF!</definedName>
    <definedName name="Loan_Start">#REF!</definedName>
    <definedName name="Loan_Years">#REF!</definedName>
    <definedName name="Num_Pmt_Per_Year">#REF!</definedName>
    <definedName name="Number_of_Payments">MATCH(0.01,End_Bal,-1)+1</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rinc">#REF!</definedName>
    <definedName name="Print_Area_Reset">OFFSET(Full_Print,0,0,Last_Row)</definedName>
    <definedName name="Sched_Pay">#REF!</definedName>
    <definedName name="Scheduled_Extra_Payments">#REF!</definedName>
    <definedName name="Scheduled_Interest_Rate">#REF!</definedName>
    <definedName name="Scheduled_Monthly_Payment">#REF!</definedName>
    <definedName name="Total_Interest">#REF!</definedName>
    <definedName name="Total_Pay">#REF!</definedName>
    <definedName name="Values_Entered">IF(Loan_Amount*Interest_Rate*Loan_Years*Loan_Start&gt;0,1,0)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2" l="1"/>
  <c r="C50" i="5"/>
  <c r="F37" i="5"/>
  <c r="E41" i="12"/>
  <c r="E38" i="12"/>
  <c r="E37" i="12"/>
  <c r="E36" i="12"/>
  <c r="E7" i="12"/>
  <c r="E34" i="12"/>
  <c r="E23" i="12"/>
  <c r="E17" i="12"/>
  <c r="E9" i="12"/>
  <c r="E41" i="11"/>
  <c r="E38" i="11"/>
  <c r="E37" i="11"/>
  <c r="E36" i="11"/>
  <c r="E7" i="11"/>
  <c r="E34" i="11" s="1"/>
  <c r="E23" i="11"/>
  <c r="E17" i="11"/>
  <c r="E9" i="11"/>
  <c r="E41" i="4"/>
  <c r="E38" i="4"/>
  <c r="E37" i="4"/>
  <c r="E36" i="4"/>
  <c r="E34" i="4"/>
  <c r="E29" i="4"/>
  <c r="E23" i="4"/>
  <c r="E17" i="4"/>
  <c r="E9" i="4"/>
  <c r="A64" i="34"/>
  <c r="A65" i="34"/>
  <c r="A66" i="34"/>
  <c r="A63" i="34"/>
  <c r="C39" i="34"/>
  <c r="E39" i="34"/>
  <c r="C40" i="34"/>
  <c r="E40" i="34"/>
  <c r="C41" i="34"/>
  <c r="E41" i="34"/>
  <c r="C42" i="34"/>
  <c r="E42" i="34"/>
  <c r="C43" i="34"/>
  <c r="E43" i="34"/>
  <c r="C44" i="34"/>
  <c r="E44" i="34"/>
  <c r="C45" i="34"/>
  <c r="E45" i="34"/>
  <c r="C46" i="34"/>
  <c r="E46" i="34"/>
  <c r="C47" i="34"/>
  <c r="E47" i="34"/>
  <c r="C48" i="34"/>
  <c r="E48" i="34"/>
  <c r="C49" i="34"/>
  <c r="E49" i="34"/>
  <c r="C50" i="34"/>
  <c r="E50" i="34"/>
  <c r="C51" i="34"/>
  <c r="E51" i="34"/>
  <c r="C52" i="34"/>
  <c r="E52" i="34"/>
  <c r="C53" i="34"/>
  <c r="E53" i="34"/>
  <c r="C54" i="34"/>
  <c r="E54" i="34"/>
  <c r="C55" i="34"/>
  <c r="E55" i="34"/>
  <c r="C56" i="34"/>
  <c r="E56" i="34"/>
  <c r="C57" i="34"/>
  <c r="E57" i="34"/>
  <c r="C58" i="34"/>
  <c r="E58" i="34"/>
  <c r="C59" i="34"/>
  <c r="E59" i="34"/>
  <c r="C60" i="34"/>
  <c r="E60" i="34"/>
  <c r="C61" i="34"/>
  <c r="E61" i="34"/>
  <c r="E38" i="34"/>
  <c r="E14" i="34"/>
  <c r="C38" i="34"/>
  <c r="C16" i="34"/>
  <c r="D31" i="34"/>
  <c r="D32" i="34"/>
  <c r="D33" i="34"/>
  <c r="D34" i="34"/>
  <c r="D35" i="34"/>
  <c r="D36" i="34"/>
  <c r="D37" i="34"/>
  <c r="C37" i="34"/>
  <c r="E37" i="34"/>
  <c r="C25" i="34"/>
  <c r="D25" i="34"/>
  <c r="E25" i="34"/>
  <c r="C26" i="34"/>
  <c r="D26" i="34"/>
  <c r="E26" i="34"/>
  <c r="C27" i="34"/>
  <c r="D27" i="34"/>
  <c r="E27" i="34"/>
  <c r="C28" i="34"/>
  <c r="D28" i="34"/>
  <c r="E28" i="34"/>
  <c r="C29" i="34"/>
  <c r="D29" i="34"/>
  <c r="E29" i="34"/>
  <c r="C30" i="34"/>
  <c r="D30" i="34"/>
  <c r="E30" i="34"/>
  <c r="C31" i="34"/>
  <c r="E31" i="34"/>
  <c r="C32" i="34"/>
  <c r="E32" i="34"/>
  <c r="C33" i="34"/>
  <c r="E33" i="34"/>
  <c r="C34" i="34"/>
  <c r="E34" i="34"/>
  <c r="C35" i="34"/>
  <c r="E35" i="34"/>
  <c r="C36" i="34"/>
  <c r="E36" i="34"/>
  <c r="C15" i="34"/>
  <c r="E15" i="34"/>
  <c r="D16" i="34"/>
  <c r="E16" i="34"/>
  <c r="C17" i="34"/>
  <c r="D17" i="34"/>
  <c r="E17" i="34"/>
  <c r="C18" i="34"/>
  <c r="D18" i="34"/>
  <c r="E18" i="34"/>
  <c r="C19" i="34"/>
  <c r="D19" i="34"/>
  <c r="E19" i="34"/>
  <c r="C20" i="34"/>
  <c r="D20" i="34"/>
  <c r="E20" i="34"/>
  <c r="C21" i="34"/>
  <c r="D21" i="34"/>
  <c r="E21" i="34"/>
  <c r="C22" i="34"/>
  <c r="E22" i="34"/>
  <c r="C23" i="34"/>
  <c r="E23" i="34"/>
  <c r="C24" i="34"/>
  <c r="D24" i="34"/>
  <c r="E24" i="34"/>
  <c r="D14" i="34"/>
  <c r="C14" i="34"/>
  <c r="F39" i="26" l="1"/>
  <c r="F30" i="26"/>
  <c r="F31" i="26" s="1"/>
  <c r="F28" i="26"/>
  <c r="F27" i="26"/>
  <c r="F20" i="26"/>
  <c r="F19" i="26"/>
  <c r="F18" i="26"/>
  <c r="F17" i="26" s="1"/>
  <c r="F12" i="26"/>
  <c r="F11" i="26"/>
  <c r="F10" i="26"/>
  <c r="F39" i="25"/>
  <c r="F32" i="25"/>
  <c r="F30" i="25"/>
  <c r="F31" i="25" s="1"/>
  <c r="F28" i="25"/>
  <c r="F21" i="25"/>
  <c r="F20" i="25"/>
  <c r="F19" i="25"/>
  <c r="F13" i="25"/>
  <c r="F12" i="25"/>
  <c r="F11" i="25"/>
  <c r="F39" i="24"/>
  <c r="F30" i="24"/>
  <c r="F31" i="24" s="1"/>
  <c r="F20" i="24"/>
  <c r="F11" i="24"/>
  <c r="F39" i="23"/>
  <c r="F30" i="23"/>
  <c r="F31" i="23" s="1"/>
  <c r="F28" i="23"/>
  <c r="F20" i="23"/>
  <c r="F19" i="23"/>
  <c r="F11" i="23"/>
  <c r="F10" i="23"/>
  <c r="F39" i="22"/>
  <c r="F28" i="22"/>
  <c r="F27" i="22"/>
  <c r="F26" i="22"/>
  <c r="F19" i="22"/>
  <c r="F18" i="22"/>
  <c r="F16" i="22"/>
  <c r="F10" i="22"/>
  <c r="F8" i="22"/>
  <c r="F39" i="21"/>
  <c r="F27" i="21"/>
  <c r="F26" i="21"/>
  <c r="F18" i="21"/>
  <c r="F16" i="21"/>
  <c r="F8" i="21"/>
  <c r="F39" i="20"/>
  <c r="F26" i="20"/>
  <c r="F25" i="20"/>
  <c r="F16" i="20"/>
  <c r="F15" i="20"/>
  <c r="F39" i="19"/>
  <c r="F26" i="19"/>
  <c r="F24" i="19"/>
  <c r="F16" i="19"/>
  <c r="F14" i="19"/>
  <c r="F39" i="18"/>
  <c r="F26" i="18"/>
  <c r="F24" i="18"/>
  <c r="F16" i="18"/>
  <c r="F14" i="18"/>
  <c r="F39" i="17"/>
  <c r="F32" i="17"/>
  <c r="F30" i="17"/>
  <c r="F31" i="17" s="1"/>
  <c r="F29" i="17" s="1"/>
  <c r="F22" i="17"/>
  <c r="F21" i="17"/>
  <c r="F20" i="17"/>
  <c r="F13" i="17"/>
  <c r="F12" i="17"/>
  <c r="F11" i="17"/>
  <c r="F39" i="16"/>
  <c r="F32" i="16"/>
  <c r="F21" i="16"/>
  <c r="F13" i="16"/>
  <c r="F39" i="15"/>
  <c r="F32" i="15"/>
  <c r="F21" i="15"/>
  <c r="F12" i="15"/>
  <c r="F39" i="14"/>
  <c r="F30" i="14"/>
  <c r="F31" i="14" s="1"/>
  <c r="F28" i="14"/>
  <c r="F20" i="14"/>
  <c r="F19" i="14"/>
  <c r="F11" i="14"/>
  <c r="F10" i="14"/>
  <c r="F39" i="13"/>
  <c r="F32" i="13"/>
  <c r="F28" i="13"/>
  <c r="F27" i="13"/>
  <c r="F21" i="13"/>
  <c r="F19" i="13"/>
  <c r="F18" i="13"/>
  <c r="F17" i="13" s="1"/>
  <c r="F12" i="13"/>
  <c r="F10" i="13"/>
  <c r="F8" i="13"/>
  <c r="F39" i="12"/>
  <c r="F39" i="11"/>
  <c r="F25" i="11"/>
  <c r="F15" i="11"/>
  <c r="F39" i="10"/>
  <c r="F26" i="10"/>
  <c r="F16" i="10"/>
  <c r="F39" i="9"/>
  <c r="F26" i="9"/>
  <c r="F16" i="9"/>
  <c r="F40" i="8"/>
  <c r="F39" i="8"/>
  <c r="F25" i="8"/>
  <c r="F39" i="7"/>
  <c r="F28" i="7"/>
  <c r="F20" i="7"/>
  <c r="F12" i="7"/>
  <c r="F39" i="6"/>
  <c r="F35" i="6"/>
  <c r="F24" i="6"/>
  <c r="F22" i="6"/>
  <c r="F14" i="6"/>
  <c r="F13" i="6"/>
  <c r="F39" i="5"/>
  <c r="F32" i="5"/>
  <c r="F30" i="5"/>
  <c r="F31" i="5" s="1"/>
  <c r="F21" i="5"/>
  <c r="F20" i="5"/>
  <c r="F12" i="5"/>
  <c r="F11" i="5"/>
  <c r="F39" i="4"/>
  <c r="F26" i="4"/>
  <c r="F16" i="4"/>
  <c r="A83" i="26"/>
  <c r="A82" i="26"/>
  <c r="A81" i="26"/>
  <c r="A80" i="26"/>
  <c r="C56" i="26"/>
  <c r="C57" i="26" s="1"/>
  <c r="F40" i="26" s="1"/>
  <c r="C49" i="26"/>
  <c r="C50" i="26" s="1"/>
  <c r="F35" i="26" s="1"/>
  <c r="C47" i="26"/>
  <c r="C48" i="26" s="1"/>
  <c r="C51" i="26" s="1"/>
  <c r="F25" i="26"/>
  <c r="A83" i="25"/>
  <c r="A82" i="25"/>
  <c r="A81" i="25"/>
  <c r="A80" i="25"/>
  <c r="C56" i="25"/>
  <c r="C57" i="25" s="1"/>
  <c r="F40" i="25" s="1"/>
  <c r="C49" i="25"/>
  <c r="C50" i="25" s="1"/>
  <c r="F35" i="25" s="1"/>
  <c r="C47" i="25"/>
  <c r="F26" i="25"/>
  <c r="A83" i="24"/>
  <c r="A82" i="24"/>
  <c r="A81" i="24"/>
  <c r="A80" i="24"/>
  <c r="C56" i="24"/>
  <c r="C57" i="24" s="1"/>
  <c r="F40" i="24" s="1"/>
  <c r="C49" i="24"/>
  <c r="C50" i="24" s="1"/>
  <c r="F35" i="24" s="1"/>
  <c r="C47" i="24"/>
  <c r="C48" i="24" s="1"/>
  <c r="F27" i="24"/>
  <c r="A83" i="23"/>
  <c r="A82" i="23"/>
  <c r="A81" i="23"/>
  <c r="A80" i="23"/>
  <c r="C56" i="23"/>
  <c r="C57" i="23" s="1"/>
  <c r="F40" i="23" s="1"/>
  <c r="C49" i="23"/>
  <c r="C50" i="23" s="1"/>
  <c r="F35" i="23" s="1"/>
  <c r="C47" i="23"/>
  <c r="F26" i="23"/>
  <c r="A83" i="22"/>
  <c r="A82" i="22"/>
  <c r="A81" i="22"/>
  <c r="A80" i="22"/>
  <c r="C56" i="22"/>
  <c r="C57" i="22" s="1"/>
  <c r="F40" i="22" s="1"/>
  <c r="C49" i="22"/>
  <c r="C50" i="22" s="1"/>
  <c r="F35" i="22" s="1"/>
  <c r="C47" i="22"/>
  <c r="C48" i="22" s="1"/>
  <c r="F25" i="22"/>
  <c r="A83" i="21"/>
  <c r="A82" i="21"/>
  <c r="A81" i="21"/>
  <c r="A80" i="21"/>
  <c r="C56" i="21"/>
  <c r="C57" i="21" s="1"/>
  <c r="F40" i="21" s="1"/>
  <c r="C49" i="21"/>
  <c r="C50" i="21" s="1"/>
  <c r="F35" i="21" s="1"/>
  <c r="C47" i="21"/>
  <c r="C48" i="21" s="1"/>
  <c r="F24" i="21"/>
  <c r="A83" i="20"/>
  <c r="A82" i="20"/>
  <c r="A81" i="20"/>
  <c r="A80" i="20"/>
  <c r="C56" i="20"/>
  <c r="C57" i="20" s="1"/>
  <c r="F40" i="20" s="1"/>
  <c r="C49" i="20"/>
  <c r="C50" i="20" s="1"/>
  <c r="F35" i="20" s="1"/>
  <c r="C47" i="20"/>
  <c r="F22" i="20"/>
  <c r="A83" i="19"/>
  <c r="A82" i="19"/>
  <c r="A81" i="19"/>
  <c r="A80" i="19"/>
  <c r="C56" i="19"/>
  <c r="C57" i="19" s="1"/>
  <c r="F40" i="19" s="1"/>
  <c r="C49" i="19"/>
  <c r="C50" i="19" s="1"/>
  <c r="F35" i="19" s="1"/>
  <c r="C47" i="19"/>
  <c r="C48" i="19" s="1"/>
  <c r="C51" i="19" s="1"/>
  <c r="F32" i="19"/>
  <c r="A83" i="18"/>
  <c r="A82" i="18"/>
  <c r="A81" i="18"/>
  <c r="A80" i="18"/>
  <c r="C56" i="18"/>
  <c r="C57" i="18" s="1"/>
  <c r="F40" i="18" s="1"/>
  <c r="C49" i="18"/>
  <c r="C50" i="18" s="1"/>
  <c r="F35" i="18" s="1"/>
  <c r="C47" i="18"/>
  <c r="C48" i="18" s="1"/>
  <c r="C51" i="18" s="1"/>
  <c r="F30" i="18"/>
  <c r="F31" i="18" s="1"/>
  <c r="A83" i="17"/>
  <c r="A82" i="17"/>
  <c r="A81" i="17"/>
  <c r="A80" i="17"/>
  <c r="C56" i="17"/>
  <c r="C57" i="17" s="1"/>
  <c r="F40" i="17" s="1"/>
  <c r="C49" i="17"/>
  <c r="C50" i="17" s="1"/>
  <c r="F35" i="17" s="1"/>
  <c r="C47" i="17"/>
  <c r="F28" i="17"/>
  <c r="A83" i="16"/>
  <c r="A82" i="16"/>
  <c r="A81" i="16"/>
  <c r="A80" i="16"/>
  <c r="C56" i="16"/>
  <c r="C57" i="16" s="1"/>
  <c r="F40" i="16" s="1"/>
  <c r="C49" i="16"/>
  <c r="C50" i="16" s="1"/>
  <c r="F35" i="16" s="1"/>
  <c r="C47" i="16"/>
  <c r="F28" i="16"/>
  <c r="A83" i="15"/>
  <c r="A82" i="15"/>
  <c r="A81" i="15"/>
  <c r="A80" i="15"/>
  <c r="C56" i="15"/>
  <c r="C57" i="15" s="1"/>
  <c r="F40" i="15" s="1"/>
  <c r="C49" i="15"/>
  <c r="C50" i="15" s="1"/>
  <c r="F35" i="15" s="1"/>
  <c r="C47" i="15"/>
  <c r="C48" i="15" s="1"/>
  <c r="C51" i="15" s="1"/>
  <c r="F28" i="15"/>
  <c r="A83" i="14"/>
  <c r="A82" i="14"/>
  <c r="A81" i="14"/>
  <c r="A80" i="14"/>
  <c r="C57" i="14"/>
  <c r="F40" i="14" s="1"/>
  <c r="C56" i="14"/>
  <c r="C49" i="14"/>
  <c r="C50" i="14" s="1"/>
  <c r="F35" i="14" s="1"/>
  <c r="C47" i="14"/>
  <c r="F27" i="14"/>
  <c r="A83" i="13"/>
  <c r="A82" i="13"/>
  <c r="A81" i="13"/>
  <c r="A80" i="13"/>
  <c r="C56" i="13"/>
  <c r="C57" i="13" s="1"/>
  <c r="F40" i="13" s="1"/>
  <c r="C49" i="13"/>
  <c r="C50" i="13" s="1"/>
  <c r="F35" i="13" s="1"/>
  <c r="C47" i="13"/>
  <c r="C48" i="13" s="1"/>
  <c r="F26" i="13"/>
  <c r="A83" i="12"/>
  <c r="A82" i="12"/>
  <c r="A81" i="12"/>
  <c r="A80" i="12"/>
  <c r="C56" i="12"/>
  <c r="C57" i="12" s="1"/>
  <c r="F40" i="12" s="1"/>
  <c r="C52" i="12"/>
  <c r="C53" i="12" s="1"/>
  <c r="C49" i="12"/>
  <c r="C47" i="12"/>
  <c r="C48" i="12" s="1"/>
  <c r="C51" i="12" s="1"/>
  <c r="F26" i="12"/>
  <c r="A83" i="11"/>
  <c r="A82" i="11"/>
  <c r="A81" i="11"/>
  <c r="A80" i="11"/>
  <c r="C56" i="11"/>
  <c r="C57" i="11" s="1"/>
  <c r="F40" i="11" s="1"/>
  <c r="C52" i="11"/>
  <c r="C53" i="11" s="1"/>
  <c r="C49" i="11"/>
  <c r="C50" i="11" s="1"/>
  <c r="F35" i="11" s="1"/>
  <c r="C47" i="11"/>
  <c r="C48" i="11" s="1"/>
  <c r="C51" i="11" s="1"/>
  <c r="F24" i="11"/>
  <c r="A83" i="10"/>
  <c r="A82" i="10"/>
  <c r="A81" i="10"/>
  <c r="A80" i="10"/>
  <c r="C56" i="10"/>
  <c r="C57" i="10" s="1"/>
  <c r="F40" i="10" s="1"/>
  <c r="C52" i="10"/>
  <c r="C53" i="10" s="1"/>
  <c r="C49" i="10"/>
  <c r="C50" i="10" s="1"/>
  <c r="F35" i="10" s="1"/>
  <c r="C48" i="10"/>
  <c r="C47" i="10"/>
  <c r="F24" i="10"/>
  <c r="A83" i="9"/>
  <c r="A82" i="9"/>
  <c r="A81" i="9"/>
  <c r="A80" i="9"/>
  <c r="C56" i="9"/>
  <c r="C57" i="9" s="1"/>
  <c r="F40" i="9" s="1"/>
  <c r="C52" i="9"/>
  <c r="C53" i="9" s="1"/>
  <c r="C49" i="9"/>
  <c r="C50" i="9" s="1"/>
  <c r="F35" i="9" s="1"/>
  <c r="C47" i="9"/>
  <c r="F24" i="9"/>
  <c r="A83" i="8"/>
  <c r="A82" i="8"/>
  <c r="A81" i="8"/>
  <c r="A80" i="8"/>
  <c r="C56" i="8"/>
  <c r="C57" i="8" s="1"/>
  <c r="C49" i="8"/>
  <c r="C50" i="8" s="1"/>
  <c r="F35" i="8" s="1"/>
  <c r="C47" i="8"/>
  <c r="C48" i="8" s="1"/>
  <c r="C51" i="8" s="1"/>
  <c r="F15" i="8"/>
  <c r="A83" i="7"/>
  <c r="A82" i="7"/>
  <c r="A81" i="7"/>
  <c r="A80" i="7"/>
  <c r="C56" i="7"/>
  <c r="C57" i="7" s="1"/>
  <c r="F40" i="7" s="1"/>
  <c r="C49" i="7"/>
  <c r="C50" i="7" s="1"/>
  <c r="F35" i="7" s="1"/>
  <c r="C47" i="7"/>
  <c r="C48" i="7" s="1"/>
  <c r="F26" i="7"/>
  <c r="A83" i="6"/>
  <c r="A82" i="6"/>
  <c r="A81" i="6"/>
  <c r="A80" i="6"/>
  <c r="C56" i="6"/>
  <c r="C57" i="6" s="1"/>
  <c r="F40" i="6" s="1"/>
  <c r="C49" i="6"/>
  <c r="C50" i="6" s="1"/>
  <c r="C47" i="6"/>
  <c r="C48" i="6" s="1"/>
  <c r="C51" i="6" s="1"/>
  <c r="F30" i="6"/>
  <c r="F31" i="6" s="1"/>
  <c r="A83" i="5"/>
  <c r="A82" i="5"/>
  <c r="A81" i="5"/>
  <c r="A80" i="5"/>
  <c r="C57" i="5"/>
  <c r="F40" i="5" s="1"/>
  <c r="C56" i="5"/>
  <c r="C52" i="5"/>
  <c r="C53" i="5" s="1"/>
  <c r="C49" i="5"/>
  <c r="C47" i="5"/>
  <c r="C48" i="5" s="1"/>
  <c r="F28" i="5"/>
  <c r="A83" i="4"/>
  <c r="A82" i="4"/>
  <c r="A81" i="4"/>
  <c r="A80" i="4"/>
  <c r="C56" i="4"/>
  <c r="C57" i="4" s="1"/>
  <c r="F40" i="4" s="1"/>
  <c r="C52" i="4"/>
  <c r="C53" i="4" s="1"/>
  <c r="C49" i="4"/>
  <c r="C50" i="4" s="1"/>
  <c r="F35" i="4" s="1"/>
  <c r="C47" i="4"/>
  <c r="F24" i="4"/>
  <c r="A83" i="3"/>
  <c r="A82" i="3"/>
  <c r="A81" i="3"/>
  <c r="A80" i="3"/>
  <c r="F17" i="22" l="1"/>
  <c r="F26" i="26"/>
  <c r="F13" i="26"/>
  <c r="F9" i="26" s="1"/>
  <c r="F21" i="26"/>
  <c r="F32" i="26"/>
  <c r="F29" i="26" s="1"/>
  <c r="F14" i="26"/>
  <c r="F22" i="26"/>
  <c r="F15" i="26"/>
  <c r="F24" i="26"/>
  <c r="F23" i="26" s="1"/>
  <c r="F8" i="26"/>
  <c r="F16" i="26"/>
  <c r="F10" i="25"/>
  <c r="F9" i="25" s="1"/>
  <c r="F18" i="25"/>
  <c r="F17" i="25" s="1"/>
  <c r="F27" i="25"/>
  <c r="F14" i="25"/>
  <c r="F22" i="25"/>
  <c r="F15" i="25"/>
  <c r="F24" i="25"/>
  <c r="F8" i="25"/>
  <c r="F16" i="25"/>
  <c r="F25" i="25"/>
  <c r="C48" i="25"/>
  <c r="C51" i="24"/>
  <c r="F10" i="24"/>
  <c r="F19" i="24"/>
  <c r="F28" i="24"/>
  <c r="F12" i="24"/>
  <c r="F21" i="24"/>
  <c r="F32" i="24"/>
  <c r="F29" i="24" s="1"/>
  <c r="F13" i="24"/>
  <c r="F14" i="24"/>
  <c r="F24" i="24"/>
  <c r="F15" i="24"/>
  <c r="F25" i="24"/>
  <c r="F22" i="24"/>
  <c r="F16" i="24"/>
  <c r="F26" i="24"/>
  <c r="F8" i="24"/>
  <c r="F18" i="24"/>
  <c r="C48" i="23"/>
  <c r="C51" i="23" s="1"/>
  <c r="F8" i="23"/>
  <c r="F18" i="23"/>
  <c r="F17" i="23" s="1"/>
  <c r="F27" i="23"/>
  <c r="F12" i="23"/>
  <c r="F9" i="23" s="1"/>
  <c r="F21" i="23"/>
  <c r="F32" i="23"/>
  <c r="F29" i="23" s="1"/>
  <c r="F13" i="23"/>
  <c r="F22" i="23"/>
  <c r="F14" i="23"/>
  <c r="F24" i="23"/>
  <c r="F15" i="23"/>
  <c r="F25" i="23"/>
  <c r="F16" i="23"/>
  <c r="F11" i="22"/>
  <c r="F20" i="22"/>
  <c r="F30" i="22"/>
  <c r="F31" i="22" s="1"/>
  <c r="F12" i="22"/>
  <c r="F9" i="22" s="1"/>
  <c r="F7" i="22" s="1"/>
  <c r="F21" i="22"/>
  <c r="F32" i="22"/>
  <c r="F13" i="22"/>
  <c r="F22" i="22"/>
  <c r="F14" i="22"/>
  <c r="F24" i="22"/>
  <c r="F23" i="22" s="1"/>
  <c r="F15" i="22"/>
  <c r="F15" i="21"/>
  <c r="F25" i="21"/>
  <c r="F23" i="21" s="1"/>
  <c r="F10" i="21"/>
  <c r="F19" i="21"/>
  <c r="F17" i="21" s="1"/>
  <c r="F28" i="21"/>
  <c r="F11" i="21"/>
  <c r="F9" i="21" s="1"/>
  <c r="F7" i="21" s="1"/>
  <c r="F20" i="21"/>
  <c r="F30" i="21"/>
  <c r="F31" i="21" s="1"/>
  <c r="F12" i="21"/>
  <c r="F21" i="21"/>
  <c r="F32" i="21"/>
  <c r="F13" i="21"/>
  <c r="F22" i="21"/>
  <c r="F14" i="21"/>
  <c r="F14" i="20"/>
  <c r="F24" i="20"/>
  <c r="F8" i="20"/>
  <c r="F18" i="20"/>
  <c r="F17" i="20" s="1"/>
  <c r="F27" i="20"/>
  <c r="F23" i="20" s="1"/>
  <c r="C48" i="20"/>
  <c r="C51" i="20" s="1"/>
  <c r="F10" i="20"/>
  <c r="F19" i="20"/>
  <c r="F28" i="20"/>
  <c r="F11" i="20"/>
  <c r="F20" i="20"/>
  <c r="F30" i="20"/>
  <c r="F31" i="20" s="1"/>
  <c r="F12" i="20"/>
  <c r="F21" i="20"/>
  <c r="F32" i="20"/>
  <c r="F13" i="20"/>
  <c r="F13" i="19"/>
  <c r="F22" i="19"/>
  <c r="F15" i="19"/>
  <c r="F25" i="19"/>
  <c r="F8" i="19"/>
  <c r="F18" i="19"/>
  <c r="F27" i="19"/>
  <c r="F10" i="19"/>
  <c r="F19" i="19"/>
  <c r="F28" i="19"/>
  <c r="F11" i="19"/>
  <c r="F20" i="19"/>
  <c r="F30" i="19"/>
  <c r="F31" i="19" s="1"/>
  <c r="F29" i="19" s="1"/>
  <c r="F12" i="19"/>
  <c r="F21" i="19"/>
  <c r="F12" i="18"/>
  <c r="F21" i="18"/>
  <c r="F32" i="18"/>
  <c r="F29" i="18" s="1"/>
  <c r="F13" i="18"/>
  <c r="F22" i="18"/>
  <c r="F15" i="18"/>
  <c r="F25" i="18"/>
  <c r="F8" i="18"/>
  <c r="F18" i="18"/>
  <c r="F27" i="18"/>
  <c r="F10" i="18"/>
  <c r="F19" i="18"/>
  <c r="F28" i="18"/>
  <c r="F11" i="18"/>
  <c r="F20" i="18"/>
  <c r="F14" i="17"/>
  <c r="F24" i="17"/>
  <c r="F15" i="17"/>
  <c r="F25" i="17"/>
  <c r="F16" i="17"/>
  <c r="F26" i="17"/>
  <c r="F8" i="17"/>
  <c r="F18" i="17"/>
  <c r="F27" i="17"/>
  <c r="C48" i="17"/>
  <c r="C51" i="17" s="1"/>
  <c r="F10" i="17"/>
  <c r="F9" i="17" s="1"/>
  <c r="F19" i="17"/>
  <c r="F11" i="16"/>
  <c r="F19" i="16"/>
  <c r="C48" i="16"/>
  <c r="C51" i="16" s="1"/>
  <c r="F12" i="16"/>
  <c r="F20" i="16"/>
  <c r="F30" i="16"/>
  <c r="F31" i="16" s="1"/>
  <c r="F14" i="16"/>
  <c r="F22" i="16"/>
  <c r="F15" i="16"/>
  <c r="F24" i="16"/>
  <c r="F8" i="16"/>
  <c r="F16" i="16"/>
  <c r="F25" i="16"/>
  <c r="F26" i="16"/>
  <c r="F10" i="16"/>
  <c r="F9" i="16" s="1"/>
  <c r="F18" i="16"/>
  <c r="F17" i="16" s="1"/>
  <c r="F27" i="16"/>
  <c r="F11" i="15"/>
  <c r="F20" i="15"/>
  <c r="F30" i="15"/>
  <c r="F31" i="15" s="1"/>
  <c r="F29" i="15" s="1"/>
  <c r="F13" i="15"/>
  <c r="F22" i="15"/>
  <c r="F14" i="15"/>
  <c r="F24" i="15"/>
  <c r="F15" i="15"/>
  <c r="F25" i="15"/>
  <c r="F16" i="15"/>
  <c r="F26" i="15"/>
  <c r="F8" i="15"/>
  <c r="F18" i="15"/>
  <c r="F27" i="15"/>
  <c r="F10" i="15"/>
  <c r="F9" i="15" s="1"/>
  <c r="F19" i="15"/>
  <c r="F12" i="14"/>
  <c r="F21" i="14"/>
  <c r="F32" i="14"/>
  <c r="F29" i="14" s="1"/>
  <c r="F13" i="14"/>
  <c r="F9" i="14" s="1"/>
  <c r="F22" i="14"/>
  <c r="C48" i="14"/>
  <c r="C51" i="14" s="1"/>
  <c r="F14" i="14"/>
  <c r="F24" i="14"/>
  <c r="F15" i="14"/>
  <c r="F25" i="14"/>
  <c r="F16" i="14"/>
  <c r="F26" i="14"/>
  <c r="F8" i="14"/>
  <c r="F18" i="14"/>
  <c r="F17" i="14" s="1"/>
  <c r="F11" i="13"/>
  <c r="F9" i="13" s="1"/>
  <c r="F20" i="13"/>
  <c r="F30" i="13"/>
  <c r="F31" i="13" s="1"/>
  <c r="F29" i="13" s="1"/>
  <c r="F13" i="13"/>
  <c r="F22" i="13"/>
  <c r="F14" i="13"/>
  <c r="F24" i="13"/>
  <c r="F15" i="13"/>
  <c r="F25" i="13"/>
  <c r="F16" i="13"/>
  <c r="F22" i="12"/>
  <c r="F8" i="12"/>
  <c r="F18" i="12"/>
  <c r="F27" i="12"/>
  <c r="F10" i="12"/>
  <c r="F19" i="12"/>
  <c r="F28" i="12"/>
  <c r="F11" i="12"/>
  <c r="F20" i="12"/>
  <c r="F30" i="12"/>
  <c r="F31" i="12" s="1"/>
  <c r="F12" i="12"/>
  <c r="F21" i="12"/>
  <c r="F32" i="12"/>
  <c r="F14" i="12"/>
  <c r="F24" i="12"/>
  <c r="F15" i="12"/>
  <c r="F25" i="12"/>
  <c r="F13" i="12"/>
  <c r="F16" i="12"/>
  <c r="F16" i="11"/>
  <c r="F26" i="11"/>
  <c r="F23" i="11" s="1"/>
  <c r="F8" i="11"/>
  <c r="F18" i="11"/>
  <c r="F27" i="11"/>
  <c r="F10" i="11"/>
  <c r="F19" i="11"/>
  <c r="F28" i="11"/>
  <c r="F11" i="11"/>
  <c r="F20" i="11"/>
  <c r="F30" i="11"/>
  <c r="F31" i="11" s="1"/>
  <c r="F12" i="11"/>
  <c r="F21" i="11"/>
  <c r="F32" i="11"/>
  <c r="F13" i="11"/>
  <c r="F22" i="11"/>
  <c r="F14" i="11"/>
  <c r="F15" i="10"/>
  <c r="F25" i="10"/>
  <c r="F8" i="10"/>
  <c r="F18" i="10"/>
  <c r="F27" i="10"/>
  <c r="F10" i="10"/>
  <c r="F19" i="10"/>
  <c r="F28" i="10"/>
  <c r="F11" i="10"/>
  <c r="F20" i="10"/>
  <c r="F30" i="10"/>
  <c r="F31" i="10" s="1"/>
  <c r="F12" i="10"/>
  <c r="F21" i="10"/>
  <c r="F32" i="10"/>
  <c r="F13" i="10"/>
  <c r="F22" i="10"/>
  <c r="F14" i="10"/>
  <c r="C48" i="9"/>
  <c r="F15" i="9"/>
  <c r="F25" i="9"/>
  <c r="F8" i="9"/>
  <c r="F18" i="9"/>
  <c r="F27" i="9"/>
  <c r="F10" i="9"/>
  <c r="F19" i="9"/>
  <c r="F28" i="9"/>
  <c r="F11" i="9"/>
  <c r="F20" i="9"/>
  <c r="F30" i="9"/>
  <c r="F31" i="9" s="1"/>
  <c r="F12" i="9"/>
  <c r="F21" i="9"/>
  <c r="F32" i="9"/>
  <c r="F13" i="9"/>
  <c r="F22" i="9"/>
  <c r="F14" i="9"/>
  <c r="F8" i="8"/>
  <c r="F16" i="8"/>
  <c r="F24" i="8"/>
  <c r="F10" i="8"/>
  <c r="F18" i="8"/>
  <c r="F26" i="8"/>
  <c r="F11" i="8"/>
  <c r="F19" i="8"/>
  <c r="F27" i="8"/>
  <c r="F12" i="8"/>
  <c r="F20" i="8"/>
  <c r="F28" i="8"/>
  <c r="F13" i="8"/>
  <c r="F21" i="8"/>
  <c r="F30" i="8"/>
  <c r="F31" i="8" s="1"/>
  <c r="F29" i="8" s="1"/>
  <c r="F14" i="8"/>
  <c r="F22" i="8"/>
  <c r="F32" i="8"/>
  <c r="C51" i="7"/>
  <c r="F11" i="7"/>
  <c r="F19" i="7"/>
  <c r="F27" i="7"/>
  <c r="F13" i="7"/>
  <c r="F21" i="7"/>
  <c r="F30" i="7"/>
  <c r="F31" i="7" s="1"/>
  <c r="F14" i="7"/>
  <c r="F22" i="7"/>
  <c r="F15" i="7"/>
  <c r="F32" i="7"/>
  <c r="F8" i="7"/>
  <c r="F16" i="7"/>
  <c r="F24" i="7"/>
  <c r="F25" i="7"/>
  <c r="F10" i="7"/>
  <c r="F9" i="7" s="1"/>
  <c r="F18" i="7"/>
  <c r="F12" i="6"/>
  <c r="F21" i="6"/>
  <c r="F32" i="6"/>
  <c r="F29" i="6" s="1"/>
  <c r="F15" i="6"/>
  <c r="F25" i="6"/>
  <c r="F16" i="6"/>
  <c r="F26" i="6"/>
  <c r="F8" i="6"/>
  <c r="F18" i="6"/>
  <c r="F27" i="6"/>
  <c r="F10" i="6"/>
  <c r="F19" i="6"/>
  <c r="F28" i="6"/>
  <c r="F11" i="6"/>
  <c r="F20" i="6"/>
  <c r="F22" i="5"/>
  <c r="F14" i="5"/>
  <c r="F15" i="5"/>
  <c r="F25" i="5"/>
  <c r="F24" i="5"/>
  <c r="F16" i="5"/>
  <c r="F26" i="5"/>
  <c r="F13" i="5"/>
  <c r="F8" i="5"/>
  <c r="F18" i="5"/>
  <c r="F27" i="5"/>
  <c r="F10" i="5"/>
  <c r="F19" i="5"/>
  <c r="F15" i="4"/>
  <c r="F25" i="4"/>
  <c r="F8" i="4"/>
  <c r="F18" i="4"/>
  <c r="F27" i="4"/>
  <c r="F10" i="4"/>
  <c r="F19" i="4"/>
  <c r="F17" i="4" s="1"/>
  <c r="F28" i="4"/>
  <c r="F11" i="4"/>
  <c r="F20" i="4"/>
  <c r="F30" i="4"/>
  <c r="F31" i="4" s="1"/>
  <c r="F12" i="4"/>
  <c r="F21" i="4"/>
  <c r="F32" i="4"/>
  <c r="C48" i="4"/>
  <c r="C51" i="4" s="1"/>
  <c r="F13" i="4"/>
  <c r="F22" i="4"/>
  <c r="F14" i="4"/>
  <c r="F29" i="25"/>
  <c r="F29" i="5"/>
  <c r="C51" i="25"/>
  <c r="C51" i="22"/>
  <c r="C51" i="21"/>
  <c r="C51" i="13"/>
  <c r="C54" i="12"/>
  <c r="C54" i="11"/>
  <c r="F37" i="11" s="1"/>
  <c r="C55" i="11"/>
  <c r="C58" i="11" s="1"/>
  <c r="C51" i="10"/>
  <c r="C51" i="9"/>
  <c r="C51" i="5"/>
  <c r="F23" i="23" l="1"/>
  <c r="F7" i="23" s="1"/>
  <c r="F34" i="23" s="1"/>
  <c r="F36" i="23" s="1"/>
  <c r="F23" i="18"/>
  <c r="F17" i="17"/>
  <c r="F23" i="17"/>
  <c r="F29" i="16"/>
  <c r="F29" i="12"/>
  <c r="F29" i="7"/>
  <c r="F23" i="6"/>
  <c r="F29" i="4"/>
  <c r="F7" i="26"/>
  <c r="F34" i="26" s="1"/>
  <c r="F36" i="26" s="1"/>
  <c r="F23" i="25"/>
  <c r="F7" i="25" s="1"/>
  <c r="F34" i="25" s="1"/>
  <c r="F36" i="25" s="1"/>
  <c r="F23" i="24"/>
  <c r="F17" i="24"/>
  <c r="F9" i="24"/>
  <c r="F7" i="24" s="1"/>
  <c r="F34" i="24" s="1"/>
  <c r="F36" i="24" s="1"/>
  <c r="F29" i="22"/>
  <c r="F34" i="22" s="1"/>
  <c r="F36" i="22" s="1"/>
  <c r="F29" i="21"/>
  <c r="F34" i="21" s="1"/>
  <c r="F36" i="21" s="1"/>
  <c r="F9" i="20"/>
  <c r="F7" i="20" s="1"/>
  <c r="F34" i="20" s="1"/>
  <c r="F36" i="20" s="1"/>
  <c r="F29" i="20"/>
  <c r="F9" i="19"/>
  <c r="F23" i="19"/>
  <c r="F17" i="19"/>
  <c r="F9" i="18"/>
  <c r="F17" i="18"/>
  <c r="F7" i="17"/>
  <c r="F34" i="17" s="1"/>
  <c r="F36" i="17" s="1"/>
  <c r="F23" i="16"/>
  <c r="F7" i="16" s="1"/>
  <c r="F34" i="16" s="1"/>
  <c r="F36" i="16" s="1"/>
  <c r="F17" i="15"/>
  <c r="F23" i="15"/>
  <c r="F7" i="15" s="1"/>
  <c r="F34" i="15" s="1"/>
  <c r="F36" i="15" s="1"/>
  <c r="F23" i="14"/>
  <c r="F7" i="14" s="1"/>
  <c r="F34" i="14" s="1"/>
  <c r="F36" i="14" s="1"/>
  <c r="F23" i="13"/>
  <c r="F7" i="13" s="1"/>
  <c r="F34" i="13" s="1"/>
  <c r="F36" i="13" s="1"/>
  <c r="F9" i="12"/>
  <c r="F17" i="12"/>
  <c r="C55" i="12"/>
  <c r="C58" i="12" s="1"/>
  <c r="F23" i="12"/>
  <c r="F29" i="11"/>
  <c r="F9" i="11"/>
  <c r="F7" i="11" s="1"/>
  <c r="F17" i="11"/>
  <c r="F17" i="10"/>
  <c r="F23" i="10"/>
  <c r="F9" i="10"/>
  <c r="F7" i="10" s="1"/>
  <c r="F29" i="10"/>
  <c r="F17" i="9"/>
  <c r="F9" i="9"/>
  <c r="F7" i="9" s="1"/>
  <c r="F34" i="9" s="1"/>
  <c r="F36" i="9" s="1"/>
  <c r="F38" i="9" s="1"/>
  <c r="F41" i="9" s="1"/>
  <c r="F29" i="9"/>
  <c r="F23" i="9"/>
  <c r="F9" i="8"/>
  <c r="F17" i="8"/>
  <c r="F23" i="8"/>
  <c r="F23" i="7"/>
  <c r="F17" i="7"/>
  <c r="F7" i="7" s="1"/>
  <c r="F9" i="6"/>
  <c r="F17" i="6"/>
  <c r="F23" i="5"/>
  <c r="F9" i="5"/>
  <c r="F17" i="5"/>
  <c r="C54" i="4"/>
  <c r="F37" i="4" s="1"/>
  <c r="F23" i="4"/>
  <c r="F9" i="4"/>
  <c r="F7" i="4" s="1"/>
  <c r="F34" i="4" s="1"/>
  <c r="F36" i="4" s="1"/>
  <c r="F38" i="4" s="1"/>
  <c r="F41" i="4" s="1"/>
  <c r="C54" i="10"/>
  <c r="F37" i="10" s="1"/>
  <c r="C54" i="9"/>
  <c r="F37" i="9" s="1"/>
  <c r="C55" i="9"/>
  <c r="C58" i="9" s="1"/>
  <c r="C54" i="5"/>
  <c r="F7" i="18" l="1"/>
  <c r="F34" i="18" s="1"/>
  <c r="F36" i="18" s="1"/>
  <c r="F34" i="10"/>
  <c r="F36" i="10" s="1"/>
  <c r="F38" i="10" s="1"/>
  <c r="F41" i="10" s="1"/>
  <c r="C55" i="10"/>
  <c r="C58" i="10" s="1"/>
  <c r="F7" i="8"/>
  <c r="F34" i="8" s="1"/>
  <c r="F36" i="8" s="1"/>
  <c r="F34" i="7"/>
  <c r="F36" i="7" s="1"/>
  <c r="F7" i="19"/>
  <c r="F34" i="19" s="1"/>
  <c r="F36" i="19" s="1"/>
  <c r="F7" i="12"/>
  <c r="F34" i="12" s="1"/>
  <c r="F36" i="12" s="1"/>
  <c r="F38" i="12" s="1"/>
  <c r="F41" i="12" s="1"/>
  <c r="F34" i="11"/>
  <c r="F36" i="11" s="1"/>
  <c r="F38" i="11" s="1"/>
  <c r="F41" i="11" s="1"/>
  <c r="F7" i="6"/>
  <c r="F34" i="6" s="1"/>
  <c r="F36" i="6" s="1"/>
  <c r="F7" i="5"/>
  <c r="F34" i="5" s="1"/>
  <c r="F36" i="5" s="1"/>
  <c r="F38" i="5" s="1"/>
  <c r="F41" i="5" s="1"/>
  <c r="C55" i="5"/>
  <c r="C58" i="5" s="1"/>
  <c r="C55" i="4"/>
  <c r="C58" i="4" s="1"/>
  <c r="D7" i="33" l="1"/>
  <c r="C56" i="3"/>
  <c r="C52" i="3"/>
  <c r="C49" i="3"/>
  <c r="C50" i="3" s="1"/>
  <c r="F35" i="3" s="1"/>
  <c r="C47" i="3"/>
  <c r="F25" i="3"/>
  <c r="F10" i="3" l="1"/>
  <c r="F18" i="3"/>
  <c r="F16" i="3"/>
  <c r="F26" i="3"/>
  <c r="F30" i="3"/>
  <c r="F32" i="3"/>
  <c r="F27" i="3"/>
  <c r="F19" i="3"/>
  <c r="F11" i="3"/>
  <c r="F12" i="3"/>
  <c r="F22" i="3"/>
  <c r="F14" i="3"/>
  <c r="F24" i="3"/>
  <c r="F8" i="3"/>
  <c r="F28" i="3"/>
  <c r="F20" i="3"/>
  <c r="F21" i="3"/>
  <c r="F13" i="3"/>
  <c r="F15" i="3"/>
  <c r="C48" i="3"/>
  <c r="C51" i="3" s="1"/>
  <c r="C57" i="3"/>
  <c r="F40" i="3" s="1"/>
  <c r="C53" i="3"/>
  <c r="D27" i="33"/>
  <c r="D26" i="33"/>
  <c r="D25" i="33"/>
  <c r="D24" i="33"/>
  <c r="D23" i="33"/>
  <c r="D22" i="33"/>
  <c r="D21" i="33"/>
  <c r="D20" i="33"/>
  <c r="D19" i="33"/>
  <c r="D18" i="33"/>
  <c r="D17" i="33"/>
  <c r="D16" i="33"/>
  <c r="D15" i="33"/>
  <c r="D13" i="33"/>
  <c r="D12" i="33"/>
  <c r="D23" i="34" s="1"/>
  <c r="D11" i="33"/>
  <c r="D22" i="34" s="1"/>
  <c r="D10" i="33"/>
  <c r="D9" i="33"/>
  <c r="D8" i="33"/>
  <c r="D6" i="33"/>
  <c r="D5" i="33"/>
  <c r="D4" i="33"/>
  <c r="D15" i="34" s="1"/>
  <c r="D3" i="33"/>
  <c r="C37" i="13"/>
  <c r="C37" i="7"/>
  <c r="C37" i="6"/>
  <c r="C52" i="6" s="1"/>
  <c r="C53" i="6" s="1"/>
  <c r="C54" i="6" s="1"/>
  <c r="F39" i="3"/>
  <c r="C37" i="14" l="1"/>
  <c r="C52" i="13"/>
  <c r="C53" i="13" s="1"/>
  <c r="C54" i="13" s="1"/>
  <c r="F37" i="6"/>
  <c r="F38" i="6" s="1"/>
  <c r="F41" i="6" s="1"/>
  <c r="C55" i="6"/>
  <c r="C58" i="6" s="1"/>
  <c r="C37" i="8"/>
  <c r="C52" i="8" s="1"/>
  <c r="C53" i="8" s="1"/>
  <c r="C54" i="8" s="1"/>
  <c r="C52" i="7"/>
  <c r="C53" i="7" s="1"/>
  <c r="C54" i="7" s="1"/>
  <c r="C54" i="3"/>
  <c r="F37" i="13" l="1"/>
  <c r="F38" i="13" s="1"/>
  <c r="F41" i="13" s="1"/>
  <c r="C55" i="13"/>
  <c r="C58" i="13" s="1"/>
  <c r="C37" i="15"/>
  <c r="C52" i="14"/>
  <c r="C53" i="14" s="1"/>
  <c r="C54" i="14" s="1"/>
  <c r="F37" i="7"/>
  <c r="F38" i="7" s="1"/>
  <c r="F41" i="7" s="1"/>
  <c r="C55" i="7"/>
  <c r="C58" i="7" s="1"/>
  <c r="F37" i="8"/>
  <c r="F38" i="8" s="1"/>
  <c r="F41" i="8" s="1"/>
  <c r="C55" i="8"/>
  <c r="C58" i="8" s="1"/>
  <c r="C55" i="3"/>
  <c r="C58" i="3" s="1"/>
  <c r="F37" i="3"/>
  <c r="F9" i="3"/>
  <c r="C37" i="16" l="1"/>
  <c r="C52" i="15"/>
  <c r="C53" i="15" s="1"/>
  <c r="C54" i="15" s="1"/>
  <c r="C55" i="14"/>
  <c r="C58" i="14" s="1"/>
  <c r="F37" i="14"/>
  <c r="F38" i="14" s="1"/>
  <c r="F41" i="14" s="1"/>
  <c r="F17" i="3"/>
  <c r="F37" i="15" l="1"/>
  <c r="F38" i="15" s="1"/>
  <c r="F41" i="15" s="1"/>
  <c r="C55" i="15"/>
  <c r="C58" i="15" s="1"/>
  <c r="C37" i="17"/>
  <c r="C52" i="16"/>
  <c r="C53" i="16" s="1"/>
  <c r="C54" i="16" s="1"/>
  <c r="F23" i="3"/>
  <c r="C37" i="18" l="1"/>
  <c r="C52" i="17"/>
  <c r="C53" i="17" s="1"/>
  <c r="C54" i="17" s="1"/>
  <c r="F37" i="16"/>
  <c r="F38" i="16" s="1"/>
  <c r="F41" i="16" s="1"/>
  <c r="C55" i="16"/>
  <c r="C58" i="16" s="1"/>
  <c r="F31" i="3"/>
  <c r="C55" i="17" l="1"/>
  <c r="C58" i="17" s="1"/>
  <c r="F37" i="17"/>
  <c r="F38" i="17" s="1"/>
  <c r="F41" i="17" s="1"/>
  <c r="C37" i="19"/>
  <c r="C52" i="18"/>
  <c r="C53" i="18" s="1"/>
  <c r="C54" i="18" s="1"/>
  <c r="C38" i="16"/>
  <c r="F29" i="3"/>
  <c r="C38" i="17" l="1"/>
  <c r="C37" i="20"/>
  <c r="C52" i="19"/>
  <c r="C53" i="19" s="1"/>
  <c r="C54" i="19" s="1"/>
  <c r="C55" i="18"/>
  <c r="C58" i="18" s="1"/>
  <c r="F37" i="18"/>
  <c r="F38" i="18" s="1"/>
  <c r="F41" i="18" s="1"/>
  <c r="E17" i="33"/>
  <c r="E18" i="33"/>
  <c r="F18" i="33" l="1"/>
  <c r="D52" i="34"/>
  <c r="F17" i="33"/>
  <c r="D51" i="34"/>
  <c r="C55" i="19"/>
  <c r="C58" i="19" s="1"/>
  <c r="F37" i="19"/>
  <c r="F38" i="19" s="1"/>
  <c r="F41" i="19" s="1"/>
  <c r="C37" i="21"/>
  <c r="C52" i="20"/>
  <c r="C53" i="20" s="1"/>
  <c r="C54" i="20" s="1"/>
  <c r="C38" i="11"/>
  <c r="C38" i="8"/>
  <c r="C38" i="9"/>
  <c r="C38" i="13"/>
  <c r="C37" i="22" l="1"/>
  <c r="C52" i="21"/>
  <c r="C53" i="21" s="1"/>
  <c r="C54" i="21" s="1"/>
  <c r="F37" i="20"/>
  <c r="F38" i="20" s="1"/>
  <c r="F41" i="20" s="1"/>
  <c r="C55" i="20"/>
  <c r="C58" i="20" s="1"/>
  <c r="C38" i="6"/>
  <c r="E9" i="33"/>
  <c r="C38" i="4"/>
  <c r="F7" i="3"/>
  <c r="E8" i="33"/>
  <c r="E13" i="33"/>
  <c r="C38" i="7"/>
  <c r="C38" i="10"/>
  <c r="E11" i="33"/>
  <c r="F13" i="33" l="1"/>
  <c r="D48" i="34"/>
  <c r="F11" i="33"/>
  <c r="D46" i="34"/>
  <c r="F9" i="33"/>
  <c r="D44" i="34"/>
  <c r="F8" i="33"/>
  <c r="D43" i="34"/>
  <c r="F37" i="21"/>
  <c r="F38" i="21" s="1"/>
  <c r="F41" i="21" s="1"/>
  <c r="C55" i="21"/>
  <c r="C58" i="21" s="1"/>
  <c r="C37" i="23"/>
  <c r="C52" i="22"/>
  <c r="C53" i="22" s="1"/>
  <c r="C54" i="22" s="1"/>
  <c r="F34" i="3"/>
  <c r="C38" i="5"/>
  <c r="E10" i="33"/>
  <c r="C38" i="12"/>
  <c r="E7" i="33"/>
  <c r="E4" i="33"/>
  <c r="E6" i="33"/>
  <c r="F10" i="33" l="1"/>
  <c r="D45" i="34"/>
  <c r="F7" i="33"/>
  <c r="D42" i="34"/>
  <c r="F6" i="33"/>
  <c r="D41" i="34"/>
  <c r="F4" i="33"/>
  <c r="D39" i="34"/>
  <c r="C37" i="24"/>
  <c r="C52" i="23"/>
  <c r="C53" i="23" s="1"/>
  <c r="C54" i="23" s="1"/>
  <c r="F37" i="22"/>
  <c r="F38" i="22" s="1"/>
  <c r="F41" i="22" s="1"/>
  <c r="C55" i="22"/>
  <c r="C58" i="22" s="1"/>
  <c r="E5" i="33"/>
  <c r="F36" i="3"/>
  <c r="E12" i="33"/>
  <c r="F12" i="33" l="1"/>
  <c r="D47" i="34"/>
  <c r="F5" i="33"/>
  <c r="D40" i="34"/>
  <c r="F37" i="23"/>
  <c r="F38" i="23" s="1"/>
  <c r="F41" i="23" s="1"/>
  <c r="C55" i="23"/>
  <c r="C58" i="23" s="1"/>
  <c r="C37" i="25"/>
  <c r="C52" i="24"/>
  <c r="C53" i="24" s="1"/>
  <c r="C54" i="24" s="1"/>
  <c r="F38" i="3"/>
  <c r="C37" i="26" l="1"/>
  <c r="C52" i="26" s="1"/>
  <c r="C53" i="26" s="1"/>
  <c r="C54" i="26" s="1"/>
  <c r="C52" i="25"/>
  <c r="C53" i="25" s="1"/>
  <c r="C54" i="25" s="1"/>
  <c r="F37" i="24"/>
  <c r="F38" i="24" s="1"/>
  <c r="F41" i="24" s="1"/>
  <c r="C55" i="24"/>
  <c r="C58" i="24" s="1"/>
  <c r="F41" i="3"/>
  <c r="C38" i="3"/>
  <c r="F37" i="25" l="1"/>
  <c r="F38" i="25" s="1"/>
  <c r="F41" i="25" s="1"/>
  <c r="C55" i="25"/>
  <c r="C58" i="25" s="1"/>
  <c r="F37" i="26"/>
  <c r="F38" i="26" s="1"/>
  <c r="F41" i="26" s="1"/>
  <c r="C55" i="26"/>
  <c r="C58" i="26" s="1"/>
  <c r="E3" i="33"/>
  <c r="F3" i="33" l="1"/>
  <c r="D38" i="34"/>
  <c r="C38" i="19"/>
  <c r="C38" i="23"/>
  <c r="C38" i="26"/>
  <c r="C38" i="18"/>
  <c r="C38" i="15"/>
  <c r="C38" i="24" l="1"/>
  <c r="C38" i="22"/>
  <c r="C38" i="20"/>
  <c r="E27" i="33"/>
  <c r="C38" i="25"/>
  <c r="E24" i="33"/>
  <c r="E19" i="33"/>
  <c r="E16" i="33"/>
  <c r="C38" i="21"/>
  <c r="E20" i="33"/>
  <c r="F27" i="33" l="1"/>
  <c r="D61" i="34"/>
  <c r="F24" i="33"/>
  <c r="D58" i="34"/>
  <c r="F20" i="33"/>
  <c r="D54" i="34"/>
  <c r="F19" i="33"/>
  <c r="D53" i="34"/>
  <c r="F16" i="33"/>
  <c r="D50" i="34"/>
  <c r="E21" i="33"/>
  <c r="E22" i="33"/>
  <c r="E26" i="33"/>
  <c r="E23" i="33"/>
  <c r="E25" i="33"/>
  <c r="F26" i="33" l="1"/>
  <c r="D60" i="34"/>
  <c r="F25" i="33"/>
  <c r="D59" i="34"/>
  <c r="F23" i="33"/>
  <c r="D57" i="34"/>
  <c r="F22" i="33"/>
  <c r="D56" i="34"/>
  <c r="F21" i="33"/>
  <c r="D55" i="34"/>
  <c r="C38" i="14"/>
  <c r="E15" i="33" l="1"/>
  <c r="F15" i="33" l="1"/>
  <c r="D49" i="34"/>
</calcChain>
</file>

<file path=xl/sharedStrings.xml><?xml version="1.0" encoding="utf-8"?>
<sst xmlns="http://schemas.openxmlformats.org/spreadsheetml/2006/main" count="3417" uniqueCount="210">
  <si>
    <t>Nr. crt.</t>
  </si>
  <si>
    <t>Denumire activitate</t>
  </si>
  <si>
    <t>Unitate de măsură</t>
  </si>
  <si>
    <t>Maturat manual si intretinere cai publice (inclusiv transportul si neutralizarea prin depozitare a deseurilor rezultate)</t>
  </si>
  <si>
    <t>1000 mp</t>
  </si>
  <si>
    <t>Golire cosuri de gunoi stradale (inclusiv transportul si neutralizarea prin depozitare a deseurilor rezultate)</t>
  </si>
  <si>
    <t>tone</t>
  </si>
  <si>
    <t>Maturat si aspirat mecanizat cai publice (inclusiv transportul si neutralizarea prin depozitare a deseurilor rezultate)</t>
  </si>
  <si>
    <t>Spalat mecanizat cai publice</t>
  </si>
  <si>
    <t>Stropire mecanizata cai publice</t>
  </si>
  <si>
    <t>Curatare manuala canale pluviale/rigole (inclusiv transportul si neutralizarea prin depozitare a materialelor grosiere rezultate)</t>
  </si>
  <si>
    <t>ml</t>
  </si>
  <si>
    <t>Curatare mecanizata canale pluviale neamenajate (inclusiv transportul si neutralizarea prin depozitare a materialelor grosiere rezultate)</t>
  </si>
  <si>
    <t>Colectarea cadavrelor animalelor de pe domeniul public si predarea acestora catre unitatile de ecarisaj sau catre instalatiile de neutralizare</t>
  </si>
  <si>
    <t>kg</t>
  </si>
  <si>
    <t>Colectarea, transportul și depozitarea deșeurilor vegetale de pe domeniul public și privat al municipiului</t>
  </si>
  <si>
    <t>Colectarea, transportul și depozitarea deșeurilor clandestine (depozite de deșeuri abandonate în alte locuri decât locurile special amenajate) de pe domeniul public și privat al municipiului și de pe domeniul privat al terților</t>
  </si>
  <si>
    <t>10.1</t>
  </si>
  <si>
    <t>Decolmatarea șanțurilor deschise de captare a apelor pluviale</t>
  </si>
  <si>
    <t>tarif curăţat zăpadă mecanizat cu autospeciale/utilaje echipate cu lamă/plug;</t>
  </si>
  <si>
    <t xml:space="preserve"> mp</t>
  </si>
  <si>
    <t>tarif curăţat zăpadă mecanizat cu autospeciale/utilaje din categoria freză, pe căile publice specificate distinct în caietul de sarcini;</t>
  </si>
  <si>
    <t>mp</t>
  </si>
  <si>
    <t>tarif curăţat zăpadă manual, inclusiv staţii publice de îmbarcare-debarcare călători şi refugii;</t>
  </si>
  <si>
    <t>tarif curăţat gheaţă manual, inclusiv staţii publice de îmbarcare-debarcare călători şi refugii;</t>
  </si>
  <si>
    <t>tarif încărcat mecanizat şi transport zăpadă;</t>
  </si>
  <si>
    <t>mc</t>
  </si>
  <si>
    <t>tarif împrăştiat mecanic material antiderapant, de tip sare;</t>
  </si>
  <si>
    <t>tarif împrăştiat manual material antiderapant, de tip sare;</t>
  </si>
  <si>
    <t>tarif împrăştiat mecanic material antiderapant, de tip sare și nisip;</t>
  </si>
  <si>
    <t>tarif împrăştiat manual material antiderapant, de tip sare și nisip;</t>
  </si>
  <si>
    <t>tarif împrăştiat mecanic material antiderapant, de tip sare cu injecţie de soluţie de clorură de calciu, în pondere conform caiet de sarcini;</t>
  </si>
  <si>
    <t>tarif împrăştiat manual material antiderapant, de tip sare în amestec cu clorură de calciu solidă, în pondere conform caiet de sarcini;</t>
  </si>
  <si>
    <t>tarif împrăştiat mecanic material antiderapant, de tip sare cu injecţie de soluţie de clorură de magneziu, în pondere conform caiet de sarcini;</t>
  </si>
  <si>
    <t>tarif împrăştiat manual material antiderapant, de tip sare în amestec cu clorură de magneziu solidă, în pondere conform caiet de sarcini.</t>
  </si>
  <si>
    <t>FORMULARE 6</t>
  </si>
  <si>
    <t>Anexa nr. 1a) la normele metodologice</t>
  </si>
  <si>
    <t>FIȘA DE FUNDAMENTARE
pentru stabilirea tarifului de colectare separată și transport separat al deșeurilor reciclabile de hârtie, metal, plastic și sticlă din deșeurile municipale</t>
  </si>
  <si>
    <t>Specificatie</t>
  </si>
  <si>
    <t>UM</t>
  </si>
  <si>
    <t>Cheltuieli materiale, din care:</t>
  </si>
  <si>
    <t>lei/an</t>
  </si>
  <si>
    <t>1.1</t>
  </si>
  <si>
    <t>Carburanți, aditivi și lubrifianți</t>
  </si>
  <si>
    <t>1.2</t>
  </si>
  <si>
    <t>Cheltuieli cu utilitățile</t>
  </si>
  <si>
    <t>1.2.1</t>
  </si>
  <si>
    <t>Energie electrică tehnologică</t>
  </si>
  <si>
    <t>1.2.2</t>
  </si>
  <si>
    <t>Energie electrică activități administrative</t>
  </si>
  <si>
    <t>1.2.3</t>
  </si>
  <si>
    <t>Alimentare cu apă și canalizare ape uzate</t>
  </si>
  <si>
    <t>1.2.4</t>
  </si>
  <si>
    <t>Alte utilități</t>
  </si>
  <si>
    <t>1.3</t>
  </si>
  <si>
    <t>Piese de schimb pentru autospeciale, mijloace de transport, utilaje, instalații și echipamente</t>
  </si>
  <si>
    <t>1.4</t>
  </si>
  <si>
    <t>Materii prime și materiale consumabile</t>
  </si>
  <si>
    <t>1.5</t>
  </si>
  <si>
    <t>Echipament de lucru și protecția muncii</t>
  </si>
  <si>
    <t>1.6</t>
  </si>
  <si>
    <t>Reparații și întreținere</t>
  </si>
  <si>
    <t>1.6.1</t>
  </si>
  <si>
    <t>Reparații și întreținere în regie</t>
  </si>
  <si>
    <t>1.6.2</t>
  </si>
  <si>
    <t>Reparații și întreținere cu terții</t>
  </si>
  <si>
    <t>1.7</t>
  </si>
  <si>
    <t>Amortizarea autospecialelor, utilajelor, instalațiilor și a mijloacelor de transport</t>
  </si>
  <si>
    <t>1.8</t>
  </si>
  <si>
    <t>Redevență</t>
  </si>
  <si>
    <t>1.9</t>
  </si>
  <si>
    <t>Cheltuieli cu protecția mediului</t>
  </si>
  <si>
    <t>1.10</t>
  </si>
  <si>
    <t>Alte cheltuieli cu servicii executate de terți, din care:</t>
  </si>
  <si>
    <t>1.10.1</t>
  </si>
  <si>
    <t>Campanii de informare și conștientizare</t>
  </si>
  <si>
    <t>1.10.2</t>
  </si>
  <si>
    <t>Închiriere de utilaje/autospeciale/mijloace de transport</t>
  </si>
  <si>
    <t>1.10.3</t>
  </si>
  <si>
    <t>Cheltuieli cu taxe, licențe, acreditări/certificări și autorizări</t>
  </si>
  <si>
    <t>1.10.4</t>
  </si>
  <si>
    <t>Alte cheltuieli</t>
  </si>
  <si>
    <t>1.11</t>
  </si>
  <si>
    <t>Alte cheltuieli materiale, exclusiv provizioane, amenzi, penalități, despăgubiri, donații și sponsorizări</t>
  </si>
  <si>
    <t>2</t>
  </si>
  <si>
    <t>Cheltuieli de natură salarială, din care:</t>
  </si>
  <si>
    <t>2.1</t>
  </si>
  <si>
    <t>Salarii</t>
  </si>
  <si>
    <t>2.2</t>
  </si>
  <si>
    <t>Contribuție asiguratorie pentru muncă (CAM)</t>
  </si>
  <si>
    <t>2.3</t>
  </si>
  <si>
    <t>Contribuție la fondul pentru handicap</t>
  </si>
  <si>
    <t>2.4</t>
  </si>
  <si>
    <t>Alte drepturi asimilate salariilor</t>
  </si>
  <si>
    <t>I</t>
  </si>
  <si>
    <t>Total cheltuieli de exploatare (1+2)</t>
  </si>
  <si>
    <t>II</t>
  </si>
  <si>
    <t>Cheltuieli financiare</t>
  </si>
  <si>
    <t>III</t>
  </si>
  <si>
    <t>Cheltuieli totale (CT = I + II)</t>
  </si>
  <si>
    <t>IV</t>
  </si>
  <si>
    <t>Profit (CT x r%)</t>
  </si>
  <si>
    <t>V</t>
  </si>
  <si>
    <t>Valoare totală a prestației (III + IV)</t>
  </si>
  <si>
    <t>Valoare estimata</t>
  </si>
  <si>
    <t>VI</t>
  </si>
  <si>
    <t>Suprafata/volumul/cantitatea programata (*)</t>
  </si>
  <si>
    <t>VII</t>
  </si>
  <si>
    <t>Tarif (V/VI)</t>
  </si>
  <si>
    <t>1000 mp/an</t>
  </si>
  <si>
    <t>lei/1000 mp</t>
  </si>
  <si>
    <t>tone/an</t>
  </si>
  <si>
    <t>lei/tona</t>
  </si>
  <si>
    <t>ml/an</t>
  </si>
  <si>
    <t>lei/ml</t>
  </si>
  <si>
    <t>kg/an</t>
  </si>
  <si>
    <t>lei/kg</t>
  </si>
  <si>
    <t>mp/an</t>
  </si>
  <si>
    <t>lei/mp</t>
  </si>
  <si>
    <t>mc/an</t>
  </si>
  <si>
    <t>lei/mc</t>
  </si>
  <si>
    <t>Fundamentarea anterioară aprobată</t>
  </si>
  <si>
    <t>Propus</t>
  </si>
  <si>
    <t>Tarif anterior aprobat  (lei/UM, fără TVA)</t>
  </si>
  <si>
    <t>Tarif propus  (lei/UM, fără TVA)</t>
  </si>
  <si>
    <t>Salubrizare stradala</t>
  </si>
  <si>
    <t>Deszapezire</t>
  </si>
  <si>
    <t>IPC Total:</t>
  </si>
  <si>
    <r>
      <t xml:space="preserve">Cheltuieli de exploatare actual: </t>
    </r>
    <r>
      <rPr>
        <b/>
        <sz val="10"/>
        <color theme="1"/>
        <rFont val="Calibri"/>
        <family val="2"/>
        <scheme val="minor"/>
      </rPr>
      <t xml:space="preserve">CE (0) = </t>
    </r>
  </si>
  <si>
    <r>
      <t xml:space="preserve">Ch. de exploatare propus: </t>
    </r>
    <r>
      <rPr>
        <b/>
        <sz val="10"/>
        <color theme="1"/>
        <rFont val="Calibri"/>
        <family val="2"/>
        <scheme val="minor"/>
      </rPr>
      <t>CE(1) = CE(0) x IPC_total/100</t>
    </r>
  </si>
  <si>
    <r>
      <t xml:space="preserve">Cheltuieli financiare actual: </t>
    </r>
    <r>
      <rPr>
        <b/>
        <sz val="10"/>
        <color theme="1"/>
        <rFont val="Calibri"/>
        <family val="2"/>
        <scheme val="minor"/>
      </rPr>
      <t xml:space="preserve">CF(0) = </t>
    </r>
  </si>
  <si>
    <r>
      <t xml:space="preserve">Cheltuieli financiare propus: </t>
    </r>
    <r>
      <rPr>
        <b/>
        <sz val="10"/>
        <color theme="1"/>
        <rFont val="Calibri"/>
        <family val="2"/>
        <scheme val="minor"/>
      </rPr>
      <t>CF(1) = CF(0)</t>
    </r>
  </si>
  <si>
    <r>
      <t xml:space="preserve">Cheltuieli totale propus: </t>
    </r>
    <r>
      <rPr>
        <b/>
        <sz val="10"/>
        <color theme="1"/>
        <rFont val="Calibri"/>
        <family val="2"/>
        <scheme val="minor"/>
      </rPr>
      <t>CT(1)</t>
    </r>
  </si>
  <si>
    <t>Cota profit anterior</t>
  </si>
  <si>
    <t>Cota profit curent</t>
  </si>
  <si>
    <t>Profit (CT1 x r%)</t>
  </si>
  <si>
    <r>
      <t xml:space="preserve">Valoare totala propusa: </t>
    </r>
    <r>
      <rPr>
        <b/>
        <sz val="10"/>
        <color theme="1"/>
        <rFont val="Calibri"/>
        <family val="2"/>
        <scheme val="minor"/>
      </rPr>
      <t>Val(1) =</t>
    </r>
  </si>
  <si>
    <r>
      <t xml:space="preserve">Suprafata actuala: </t>
    </r>
    <r>
      <rPr>
        <b/>
        <sz val="10"/>
        <color theme="1"/>
        <rFont val="Calibri"/>
        <family val="2"/>
        <scheme val="minor"/>
      </rPr>
      <t>S(0)</t>
    </r>
  </si>
  <si>
    <r>
      <t xml:space="preserve">Suprafata propusa: </t>
    </r>
    <r>
      <rPr>
        <b/>
        <sz val="10"/>
        <color theme="1"/>
        <rFont val="Calibri"/>
        <family val="2"/>
        <scheme val="minor"/>
      </rPr>
      <t>S(1) = S(0)</t>
    </r>
  </si>
  <si>
    <t>T1f = Val(1) / S(1)</t>
  </si>
  <si>
    <t>IPC_total = calculat pe perioada cuprinsă între luna de referinţă aferentă fundamentării anterioare şi luna corespunzătoare celui mai recent IPC_total publicat de Institutul Naţional de Statistică la data solicitării ajustării;</t>
  </si>
  <si>
    <t>CE(0) = cheltuielile de exploatare, din fundamentarea anterioară aprobată;</t>
  </si>
  <si>
    <t>CE(1) = cheltuielile de exploatare ajustate cu inflaţia;</t>
  </si>
  <si>
    <t>CE(1) = CE(0) x IPC_total/100</t>
  </si>
  <si>
    <t>CF(1) = cheltuielile financiare, la acelaşi nivel cu cheltuielile financiare CF(0) din fundamentarea anterioară avizată/aprobată;</t>
  </si>
  <si>
    <t>CT(1) = CE(1) + CF(1)</t>
  </si>
  <si>
    <t>r% = cota de profit stabilită la momentul încheierii contractului de delegare;</t>
  </si>
  <si>
    <t>V(1) = valoarea totală ajustată, determinată de influenţele primite în cheltuielile de exploatare de evoluţia parametrului de ajustare IPC_total, calculată potrivit formulei:</t>
  </si>
  <si>
    <t>S(1) = cantitatea programată, egală cu S(0) din fundamentarea anterioară aprobată;</t>
  </si>
  <si>
    <t>T(1) = V(1)/Q(1), unde:</t>
  </si>
  <si>
    <t>T(1) = tariful ajustat;</t>
  </si>
  <si>
    <t>V(1) = CT(1) + CT(1) x r%, unde:</t>
  </si>
  <si>
    <t>Crestere</t>
  </si>
  <si>
    <t>Operator,</t>
  </si>
  <si>
    <t>S.C. SYLEVY CLEANING S.R.L.</t>
  </si>
  <si>
    <t>Reprezentant legal,</t>
  </si>
  <si>
    <t>Szilard-Levente ILYES</t>
  </si>
  <si>
    <t>Luna de referință* (luna depunerii ofertei)</t>
  </si>
  <si>
    <t>Mai 2023</t>
  </si>
  <si>
    <r>
      <t xml:space="preserve">Cantitatea actuala: </t>
    </r>
    <r>
      <rPr>
        <b/>
        <sz val="10"/>
        <color theme="1"/>
        <rFont val="Calibri"/>
        <family val="2"/>
        <scheme val="minor"/>
      </rPr>
      <t>Q(0)</t>
    </r>
  </si>
  <si>
    <r>
      <t xml:space="preserve">Cantitatea propusa: </t>
    </r>
    <r>
      <rPr>
        <b/>
        <sz val="10"/>
        <color theme="1"/>
        <rFont val="Calibri"/>
        <family val="2"/>
        <scheme val="minor"/>
      </rPr>
      <t>Q(1) = Q(0)</t>
    </r>
  </si>
  <si>
    <t>T1f = Val(1) / Q(1)</t>
  </si>
  <si>
    <t>Q(1) = cantitatea programată, egală cu Q(0) din fundamentarea anterioară aprobată;</t>
  </si>
  <si>
    <t>Cantitatea actuala: Q(0)</t>
  </si>
  <si>
    <t>Cantitatea propusa: Q(1) = Q(0)</t>
  </si>
  <si>
    <t>T(1) = V(1)/S(1), unde:</t>
  </si>
  <si>
    <t xml:space="preserve">FIŞA DE FUNDAMENTARE pentru ajustarea tarifului de  Maturat manual si intretinere cai publice (inclusiv transportul si neutralizarea prin depozitare a deseurilor rezultate)
</t>
  </si>
  <si>
    <t xml:space="preserve">FIŞA DE FUNDAMENTARE pentru ajustarea tarifului de  Golire cosuri de gunoi stradale (inclusiv transportul si neutralizarea prin depozitare a deseurilor rezultate)
</t>
  </si>
  <si>
    <t xml:space="preserve">FIŞA DE FUNDAMENTARE pentru ajustarea tarifului de  Maturat si aspirat mecanizat cai publice (inclusiv transportul si neutralizarea prin depozitare a deseurilor rezultate)
</t>
  </si>
  <si>
    <t xml:space="preserve">FIŞA DE FUNDAMENTARE pentru ajustarea tarifului de  Spalat mecanizat cai publice
</t>
  </si>
  <si>
    <t xml:space="preserve">FIŞA DE FUNDAMENTARE pentru ajustarea tarifului de  Stropire mecanizata cai publice
</t>
  </si>
  <si>
    <t xml:space="preserve">FIŞA DE FUNDAMENTARE pentru ajustarea tarifului de  Curatare manuala canale pluviale/rigole (inclusiv transportul si neutralizarea prin depozitare a materialelor grosiere rezultate)
</t>
  </si>
  <si>
    <t xml:space="preserve">FIŞA DE FUNDAMENTARE pentru ajustarea tarifului de  Curatare mecanizata canale pluviale neamenajate (inclusiv transportul si neutralizarea prin depozitare a materialelor grosiere rezultate)
</t>
  </si>
  <si>
    <t xml:space="preserve">FIŞA DE FUNDAMENTARE pentru ajustarea tarifului de  Colectarea cadavrelor animalelor de pe domeniul public si predarea acestora catre unitatile de ecarisaj sau catre instalatiile de neutralizare
</t>
  </si>
  <si>
    <t xml:space="preserve">FIŞA DE FUNDAMENTARE pentru ajustarea tarifului de  Colectarea, transportul și depozitarea deșeurilor vegetale de pe domeniul public și privat al municipiului
</t>
  </si>
  <si>
    <t xml:space="preserve">FIŞA DE FUNDAMENTARE pentru ajustarea tarifului de  Colectarea, transportul și depozitarea deșeurilor clandestine (depozite de deșeuri abandonate în alte locuri decât locurile special amenajate) de pe domeniul public și privat al municipiului și de pe domeniul privat al terților
</t>
  </si>
  <si>
    <t xml:space="preserve">FIŞA DE FUNDAMENTARE pentru ajustarea tarifului de  Decolmatarea șanțurilor deschise de captare a apelor pluviale
</t>
  </si>
  <si>
    <t>FIȘA DE FUNDAMENTARE
pentru ajustarea tarifului de colectare separată și transport separat al deșeurilor reciclabile de hârtie, metal, plastic și sticlă din deșeurile municipale</t>
  </si>
  <si>
    <t xml:space="preserve">FIŞA DE FUNDAMENTARE pentru ajustarea tarifului de  curăţat zăpadă mecanizat cu autospeciale/utilaje echipate cu lamă/plug
</t>
  </si>
  <si>
    <t xml:space="preserve">FIŞA DE FUNDAMENTARE  pentru ajustarea tarifului de curăţat zăpadă mecanizat cu autospeciale/utilaje din categoria freză, pe căile publice specificate distinct în caietul de sarcini;
</t>
  </si>
  <si>
    <t>FIŞA DE FUNDAMENTARE pentru ajustarea  tariului de  curăţat zăpadă manual, inclusiv staţii publice de îmbarcare-debarcare călători şi refugii;</t>
  </si>
  <si>
    <t xml:space="preserve">FIŞA DE FUNDAMENTARE pentru ajustarea  tarifului de curăţat gheaţă manual, inclusiv staţii publice de îmbarcare-debarcare călători şi refugii;
</t>
  </si>
  <si>
    <t xml:space="preserve">FIŞA DE FUNDAMENTARE pentru ajustarea tarifului de încărcat mecanizat şi transport zăpadă;
</t>
  </si>
  <si>
    <t xml:space="preserve">FIŞA DE FUNDAMENTARE pentru ajustarea tarifului de împrăştiat mecanic material antiderapant, de tip sare;
</t>
  </si>
  <si>
    <t xml:space="preserve">FIŞA DE FUNDAMENTARE pentru ajustarea tarifului de  împrăştiat manual material antiderapant, de tip sare;
</t>
  </si>
  <si>
    <t xml:space="preserve">FIŞA DE FUNDAMENTARE pentru ajustarea tarifului de  împrăştiat mecanic material antiderapant, de tip sare și nisip;
</t>
  </si>
  <si>
    <t xml:space="preserve">FIŞA DE FUNDAMENTARE pentru ajustarea tarifului de  împrăştiat manual material antiderapant, de tip sare și nisip;
</t>
  </si>
  <si>
    <t xml:space="preserve">FIŞA DE FUNDAMENTARE pentru ajustarea tarifului de  împrăştiat mecanic material antiderapant, de tip sare cu injecţie de soluţie de clorură de calciu, în pondere conform caiet de sarcini;
</t>
  </si>
  <si>
    <t xml:space="preserve">FIŞA DE FUNDAMENTARE pentru ajustarea tarifului de  împrăştiat manual material antiderapant, de tip sare în amestec cu clorură de calciu solidă, în pondere conform caiet de sarcini;
</t>
  </si>
  <si>
    <t xml:space="preserve">FIŞA DE FUNDAMENTARE pentru ajustarea tarifului de  împrăştiat mecanic material antiderapant, de tip sare cu injecţie de soluţie de clorură de magneziu, în pondere conform caiet de sarcini;
</t>
  </si>
  <si>
    <t xml:space="preserve">FIŞA DE FUNDAMENTARE pentru ajustarea tarifului de  împrăştiat manual material antiderapant, de tip sare în amestec cu clorură de magneziu solidă, în pondere conform caiet de sarcini.
</t>
  </si>
  <si>
    <t>Fisa intocmita in conformitate cu Ordinul 640 ANRSC, Anexa nr. 2 j) la normele metodologice</t>
  </si>
  <si>
    <t xml:space="preserve">SYLEVY CLEANING SRL </t>
  </si>
  <si>
    <t>Str. Plopilor 12 Cod 540282  |  Targu Mures  |  Romania</t>
  </si>
  <si>
    <t xml:space="preserve">Inregistrata la Registrul Comertului sub nr. J26/1016/2020 , Cod Unic de Inregistrare: RO 42908966 </t>
  </si>
  <si>
    <t>T: 0723-100.021  |  office@sylevycleaning.ro</t>
  </si>
  <si>
    <t>MEMORIU TEHNICO-ECONOMIC JUSTIFICATIV</t>
  </si>
  <si>
    <t>privind determinarea nivelului elementelor de cheltuieli din fișa de fundamentare a tarifului solicitat</t>
  </si>
  <si>
    <t>Activitatea/prestația pentru care se solicită aprobarea tarifului</t>
  </si>
  <si>
    <t>Tip cerere</t>
  </si>
  <si>
    <t>[  ] Stabilire
[X] Ajustare
[  ] Modificare</t>
  </si>
  <si>
    <t xml:space="preserve">Situația existentă </t>
  </si>
  <si>
    <t>Număr și data contract/ hotărâre de dare în administrare</t>
  </si>
  <si>
    <t>Tariful în vigoare [în cazul ajustării ori modificării]</t>
  </si>
  <si>
    <t>Activitățile de măturat, spălat, stropire și întreținerea căilor publice, precum și colectarea cadavrelor animalelor de pe domeniul public și predarea acestora către unitățile de ecarisaj sau către instalațiile de neutralizare și pentru activitățile de curățare și transportul zăpezii de pe căile publice din localitate și menținerea în funcțiune a acestora pe timp de polei sau înghet, în municipiul Târgu Mureș</t>
  </si>
  <si>
    <t>Contract Nr. 1/19.02.2024 – de delegare a serviciului public de salubrizare pentru activitățile de măturat, spălat, stropire și întreținerea căilor publice, precum și colectarea cadavrelor animalelor de pe domeniul public și predarea acestora către unitățile de ecarisaj sau către instalațiile de neutralizare și pentru activitățile de curățare și transportul zăpezii de pe căile publice din localitate și menținerea în funcțiune a acestora pe timp de polei sau înghet, în municipiul Târgu Mureș, prin contract de prestări servicii, din Legea Nr. 98/2016.</t>
  </si>
  <si>
    <t>Motivul ajustării sau, după caz, modificării tarifului</t>
  </si>
  <si>
    <r>
      <t xml:space="preserve">Anexa 4 </t>
    </r>
    <r>
      <rPr>
        <sz val="11"/>
        <color theme="1"/>
        <rFont val="Times New Roman"/>
        <family val="1"/>
      </rPr>
      <t>la normele metodologice</t>
    </r>
  </si>
  <si>
    <t>Ajustarea tarifelor in conformitate cu Ordinul 640 / 2022 ANRSC cu parametrul de ajustare IPC Total pentru perioada Mai 2023 (luna depunerii ofertei) – Februarie 2025 (ultimul IPC disponibil) (109,96%),  dupa cum urmeaza:</t>
  </si>
  <si>
    <t>Ultimul IPC disponibil (Februarie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</si>
</sst>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numFmt numFmtId="166" formatCode="0.000"/>
    <numFmt numFmtId="167" formatCode="#,##0.000"/>
  </numFmts>
  <fonts count="23" x14ac:knownFonts="1">
    <font>
      <sz val="11"/>
      <color theme="1"/>
      <name val="Calibri"/>
      <family val="2"/>
    </font>
    <font>
      <sz val="11"/>
      <color indexed="8"/>
      <name val="Calibri"/>
      <family val="2"/>
    </font>
    <font>
      <b/>
      <sz val="11"/>
      <name val="Times New Roman"/>
      <family val="1"/>
    </font>
    <font>
      <sz val="11"/>
      <color indexed="8"/>
      <name val="Times New Roman"/>
      <family val="1"/>
    </font>
    <font>
      <sz val="11"/>
      <name val="Times New Roman"/>
      <family val="1"/>
    </font>
    <font>
      <b/>
      <sz val="11"/>
      <color indexed="8"/>
      <name val="Times New Roman"/>
      <family val="1"/>
    </font>
    <font>
      <sz val="11"/>
      <color indexed="8"/>
      <name val="Times New Roman"/>
      <family val="1"/>
      <charset val="238"/>
    </font>
    <font>
      <b/>
      <sz val="11"/>
      <color indexed="8"/>
      <name val="Times New Roman"/>
      <family val="1"/>
      <charset val="238"/>
    </font>
    <font>
      <i/>
      <sz val="10"/>
      <color indexed="8"/>
      <name val="Times New Roman"/>
      <family val="1"/>
    </font>
    <font>
      <b/>
      <sz val="11"/>
      <color indexed="9"/>
      <name val="Times New Roman"/>
      <family val="1"/>
    </font>
    <font>
      <i/>
      <sz val="10"/>
      <name val="Times New Roman"/>
      <family val="1"/>
    </font>
    <font>
      <sz val="8"/>
      <name val="Calibri"/>
      <family val="2"/>
    </font>
    <font>
      <b/>
      <i/>
      <sz val="12"/>
      <color indexed="8"/>
      <name val="Times New Roman"/>
      <family val="1"/>
      <charset val="238"/>
    </font>
    <font>
      <sz val="11"/>
      <color rgb="FF000000"/>
      <name val="Book Antiqua"/>
      <family val="2"/>
      <charset val="1"/>
    </font>
    <font>
      <b/>
      <sz val="10"/>
      <color theme="1"/>
      <name val="Calibri"/>
      <family val="2"/>
      <scheme val="minor"/>
    </font>
    <font>
      <sz val="10"/>
      <color theme="1"/>
      <name val="Calibri"/>
      <family val="2"/>
      <scheme val="minor"/>
    </font>
    <font>
      <sz val="11"/>
      <color rgb="FF000000"/>
      <name val="Courier New"/>
      <family val="3"/>
    </font>
    <font>
      <sz val="11"/>
      <color theme="1"/>
      <name val="Trebuchet MS"/>
      <family val="2"/>
    </font>
    <font>
      <sz val="12"/>
      <color theme="1"/>
      <name val="Times New Roman"/>
      <family val="1"/>
    </font>
    <font>
      <sz val="11"/>
      <color rgb="FF000000"/>
      <name val="Times New Roman"/>
      <family val="1"/>
    </font>
    <font>
      <sz val="11"/>
      <color theme="1"/>
      <name val="Times New Roman"/>
      <family val="1"/>
    </font>
    <font>
      <b/>
      <sz val="11"/>
      <color theme="1"/>
      <name val="Times New Roman"/>
      <family val="1"/>
    </font>
    <font>
      <sz val="11"/>
      <color rgb="FFFF0000"/>
      <name val="Times New Roman"/>
      <family val="1"/>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0" fontId="13" fillId="0" borderId="0"/>
    <xf numFmtId="9" fontId="1" fillId="0" borderId="0" applyFont="0" applyFill="0" applyBorder="0" applyAlignment="0" applyProtection="0"/>
    <xf numFmtId="0" fontId="17" fillId="0" borderId="0"/>
  </cellStyleXfs>
  <cellXfs count="158">
    <xf numFmtId="0" fontId="0" fillId="0" borderId="0" xfId="0"/>
    <xf numFmtId="0" fontId="2" fillId="2" borderId="1" xfId="0" applyFont="1" applyFill="1" applyBorder="1" applyAlignment="1">
      <alignment horizontal="center" vertical="center" wrapText="1"/>
    </xf>
    <xf numFmtId="10" fontId="3" fillId="0" borderId="0" xfId="0" applyNumberFormat="1" applyFont="1" applyAlignment="1">
      <alignment vertical="center"/>
    </xf>
    <xf numFmtId="0" fontId="3" fillId="0" borderId="0" xfId="0" applyFont="1" applyAlignment="1">
      <alignment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4" fontId="3"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5" fillId="0" borderId="8" xfId="0" applyNumberFormat="1" applyFont="1" applyBorder="1" applyAlignment="1">
      <alignment horizontal="right" vertical="center"/>
    </xf>
    <xf numFmtId="0" fontId="5" fillId="0" borderId="9" xfId="0" applyFont="1" applyBorder="1" applyAlignment="1">
      <alignment horizontal="center" vertical="center"/>
    </xf>
    <xf numFmtId="4" fontId="5" fillId="0" borderId="10" xfId="0" applyNumberFormat="1" applyFont="1" applyBorder="1" applyAlignment="1">
      <alignment vertical="center"/>
    </xf>
    <xf numFmtId="0" fontId="5" fillId="0" borderId="0" xfId="0" applyFont="1" applyAlignment="1">
      <alignment vertical="center"/>
    </xf>
    <xf numFmtId="49" fontId="6" fillId="0" borderId="11" xfId="0" applyNumberFormat="1" applyFont="1" applyBorder="1" applyAlignment="1">
      <alignment horizontal="right" vertical="center"/>
    </xf>
    <xf numFmtId="0" fontId="6" fillId="0" borderId="3" xfId="0" applyFont="1" applyBorder="1" applyAlignment="1">
      <alignment horizontal="center" vertical="center"/>
    </xf>
    <xf numFmtId="4" fontId="6" fillId="0" borderId="12" xfId="0" applyNumberFormat="1" applyFont="1" applyBorder="1" applyAlignment="1">
      <alignment vertical="center"/>
    </xf>
    <xf numFmtId="49" fontId="6" fillId="0" borderId="8" xfId="0" applyNumberFormat="1" applyFont="1" applyBorder="1" applyAlignment="1">
      <alignment horizontal="right" vertical="center"/>
    </xf>
    <xf numFmtId="0" fontId="6" fillId="0" borderId="9" xfId="0" applyFont="1" applyBorder="1" applyAlignment="1">
      <alignment horizontal="center" vertical="center"/>
    </xf>
    <xf numFmtId="4" fontId="6" fillId="0" borderId="10" xfId="0" applyNumberFormat="1" applyFont="1" applyBorder="1" applyAlignment="1">
      <alignment vertical="center"/>
    </xf>
    <xf numFmtId="49" fontId="8" fillId="0" borderId="13" xfId="0" applyNumberFormat="1" applyFont="1" applyBorder="1" applyAlignment="1">
      <alignment horizontal="right" vertical="center"/>
    </xf>
    <xf numFmtId="0" fontId="8" fillId="0" borderId="1" xfId="0" applyFont="1" applyBorder="1" applyAlignment="1">
      <alignment horizontal="center" vertical="center"/>
    </xf>
    <xf numFmtId="4" fontId="8" fillId="0" borderId="14" xfId="0" applyNumberFormat="1" applyFont="1" applyBorder="1" applyAlignment="1">
      <alignment vertical="center"/>
    </xf>
    <xf numFmtId="0" fontId="8" fillId="0" borderId="0" xfId="0" applyFont="1" applyAlignment="1">
      <alignment vertical="center"/>
    </xf>
    <xf numFmtId="49" fontId="8" fillId="0" borderId="15" xfId="0" applyNumberFormat="1" applyFont="1" applyBorder="1" applyAlignment="1">
      <alignment horizontal="right" vertical="center"/>
    </xf>
    <xf numFmtId="0" fontId="8" fillId="0" borderId="16" xfId="0" applyFont="1" applyBorder="1" applyAlignment="1">
      <alignment horizontal="center" vertical="center"/>
    </xf>
    <xf numFmtId="4" fontId="8" fillId="0" borderId="17" xfId="0" applyNumberFormat="1" applyFont="1" applyBorder="1" applyAlignment="1">
      <alignment vertical="center"/>
    </xf>
    <xf numFmtId="49" fontId="6" fillId="0" borderId="18" xfId="0" applyNumberFormat="1" applyFont="1" applyBorder="1" applyAlignment="1">
      <alignment horizontal="right" vertical="center"/>
    </xf>
    <xf numFmtId="0" fontId="6" fillId="0" borderId="2" xfId="0" applyFont="1" applyBorder="1" applyAlignment="1">
      <alignment horizontal="center" vertical="center"/>
    </xf>
    <xf numFmtId="4" fontId="6" fillId="0" borderId="19" xfId="0" applyNumberFormat="1" applyFont="1" applyBorder="1" applyAlignment="1">
      <alignment vertical="center"/>
    </xf>
    <xf numFmtId="49" fontId="6" fillId="0" borderId="13" xfId="0" applyNumberFormat="1" applyFont="1" applyBorder="1" applyAlignment="1">
      <alignment horizontal="right" vertical="center"/>
    </xf>
    <xf numFmtId="0" fontId="6" fillId="0" borderId="1" xfId="0" applyFont="1" applyBorder="1" applyAlignment="1">
      <alignment horizontal="center" vertical="center"/>
    </xf>
    <xf numFmtId="4" fontId="6" fillId="0" borderId="14" xfId="0" applyNumberFormat="1" applyFont="1" applyBorder="1" applyAlignment="1">
      <alignment vertical="center"/>
    </xf>
    <xf numFmtId="49" fontId="6" fillId="0" borderId="20" xfId="0" applyNumberFormat="1" applyFont="1" applyBorder="1" applyAlignment="1">
      <alignment horizontal="right" vertical="center"/>
    </xf>
    <xf numFmtId="0" fontId="6" fillId="0" borderId="21" xfId="0" applyFont="1" applyBorder="1" applyAlignment="1">
      <alignment horizontal="center" vertical="center"/>
    </xf>
    <xf numFmtId="4" fontId="6" fillId="0" borderId="22" xfId="0" applyNumberFormat="1" applyFont="1" applyBorder="1" applyAlignment="1">
      <alignment vertical="center"/>
    </xf>
    <xf numFmtId="0" fontId="6" fillId="0" borderId="1" xfId="0" applyFont="1" applyBorder="1" applyAlignment="1">
      <alignment horizontal="left" vertical="center" wrapText="1"/>
    </xf>
    <xf numFmtId="10" fontId="6" fillId="0" borderId="1" xfId="0" applyNumberFormat="1" applyFont="1" applyBorder="1" applyAlignment="1">
      <alignment horizontal="right" vertical="center" wrapText="1"/>
    </xf>
    <xf numFmtId="49" fontId="3" fillId="0" borderId="13" xfId="0" applyNumberFormat="1" applyFont="1" applyBorder="1" applyAlignment="1">
      <alignment horizontal="right" vertical="center"/>
    </xf>
    <xf numFmtId="0" fontId="3" fillId="0" borderId="1" xfId="0" applyFont="1" applyBorder="1" applyAlignment="1">
      <alignment horizontal="left" vertical="center" wrapText="1"/>
    </xf>
    <xf numFmtId="4" fontId="3" fillId="0" borderId="14" xfId="0" applyNumberFormat="1" applyFont="1" applyBorder="1" applyAlignment="1">
      <alignment vertical="center"/>
    </xf>
    <xf numFmtId="4" fontId="6" fillId="0" borderId="0" xfId="0" applyNumberFormat="1" applyFont="1" applyAlignment="1">
      <alignment vertical="center"/>
    </xf>
    <xf numFmtId="49" fontId="5" fillId="0" borderId="15" xfId="0" applyNumberFormat="1" applyFont="1" applyBorder="1" applyAlignment="1">
      <alignment horizontal="right" vertical="center"/>
    </xf>
    <xf numFmtId="0" fontId="5" fillId="0" borderId="16" xfId="0" applyFont="1" applyBorder="1" applyAlignment="1">
      <alignment horizontal="center" vertical="center"/>
    </xf>
    <xf numFmtId="4" fontId="3" fillId="0" borderId="17" xfId="0" applyNumberFormat="1" applyFont="1" applyBorder="1" applyAlignment="1">
      <alignment vertical="center"/>
    </xf>
    <xf numFmtId="0" fontId="3" fillId="0" borderId="18" xfId="0" applyFont="1" applyBorder="1" applyAlignment="1">
      <alignment horizontal="right" vertical="center" wrapText="1"/>
    </xf>
    <xf numFmtId="4" fontId="3" fillId="0" borderId="19" xfId="0" applyNumberFormat="1" applyFont="1" applyBorder="1" applyAlignment="1">
      <alignment vertical="center" wrapText="1"/>
    </xf>
    <xf numFmtId="0" fontId="3" fillId="0" borderId="13" xfId="0" applyFont="1" applyBorder="1" applyAlignment="1">
      <alignment horizontal="right" vertical="center" wrapText="1"/>
    </xf>
    <xf numFmtId="0" fontId="5" fillId="0" borderId="1" xfId="0" applyFont="1" applyBorder="1" applyAlignment="1">
      <alignment horizontal="center" vertical="center" wrapText="1"/>
    </xf>
    <xf numFmtId="4" fontId="5" fillId="0" borderId="14" xfId="0" applyNumberFormat="1" applyFont="1" applyBorder="1" applyAlignment="1">
      <alignment vertical="center"/>
    </xf>
    <xf numFmtId="10" fontId="9" fillId="0" borderId="1" xfId="0" applyNumberFormat="1" applyFont="1" applyBorder="1" applyAlignment="1">
      <alignment horizontal="right" vertical="center" wrapText="1"/>
    </xf>
    <xf numFmtId="165" fontId="5" fillId="0" borderId="14" xfId="0" applyNumberFormat="1" applyFont="1" applyBorder="1" applyAlignment="1">
      <alignment vertical="center"/>
    </xf>
    <xf numFmtId="4" fontId="10" fillId="0" borderId="17" xfId="0" applyNumberFormat="1" applyFont="1" applyBorder="1" applyAlignment="1">
      <alignment vertical="center"/>
    </xf>
    <xf numFmtId="4" fontId="4" fillId="0" borderId="1" xfId="0" applyNumberFormat="1" applyFont="1" applyBorder="1" applyAlignment="1">
      <alignment horizontal="center" vertical="center"/>
    </xf>
    <xf numFmtId="0" fontId="12" fillId="0" borderId="0" xfId="0" applyFont="1" applyAlignment="1">
      <alignment horizontal="center" vertical="center" wrapText="1"/>
    </xf>
    <xf numFmtId="4" fontId="5" fillId="0" borderId="35" xfId="0" applyNumberFormat="1" applyFont="1" applyBorder="1" applyAlignment="1">
      <alignment vertical="center"/>
    </xf>
    <xf numFmtId="4" fontId="6" fillId="0" borderId="32" xfId="0" applyNumberFormat="1" applyFont="1" applyBorder="1" applyAlignment="1">
      <alignment vertical="center"/>
    </xf>
    <xf numFmtId="4" fontId="6" fillId="0" borderId="35" xfId="0" applyNumberFormat="1" applyFont="1" applyBorder="1" applyAlignment="1">
      <alignment vertical="center"/>
    </xf>
    <xf numFmtId="4" fontId="8" fillId="0" borderId="23" xfId="0" applyNumberFormat="1" applyFont="1" applyBorder="1" applyAlignment="1">
      <alignment vertical="center"/>
    </xf>
    <xf numFmtId="4" fontId="8" fillId="0" borderId="33" xfId="0" applyNumberFormat="1" applyFont="1" applyBorder="1" applyAlignment="1">
      <alignment vertical="center"/>
    </xf>
    <xf numFmtId="4" fontId="6" fillId="0" borderId="26" xfId="0" applyNumberFormat="1" applyFont="1" applyBorder="1" applyAlignment="1">
      <alignment vertical="center"/>
    </xf>
    <xf numFmtId="4" fontId="6" fillId="0" borderId="23" xfId="0" applyNumberFormat="1" applyFont="1" applyBorder="1" applyAlignment="1">
      <alignment vertical="center"/>
    </xf>
    <xf numFmtId="4" fontId="6" fillId="0" borderId="37" xfId="0" applyNumberFormat="1" applyFont="1" applyBorder="1" applyAlignment="1">
      <alignment vertical="center"/>
    </xf>
    <xf numFmtId="0" fontId="14" fillId="0" borderId="1" xfId="0" applyFont="1" applyBorder="1" applyAlignment="1">
      <alignment horizontal="justify" vertical="center" wrapText="1"/>
    </xf>
    <xf numFmtId="10" fontId="15" fillId="0" borderId="1" xfId="2" applyNumberFormat="1" applyFont="1" applyBorder="1" applyAlignment="1">
      <alignment horizontal="right" vertical="center" wrapText="1"/>
    </xf>
    <xf numFmtId="0" fontId="15" fillId="0" borderId="1" xfId="0" applyFont="1" applyBorder="1" applyAlignment="1">
      <alignment horizontal="justify" vertical="center" wrapText="1"/>
    </xf>
    <xf numFmtId="4" fontId="15" fillId="0" borderId="1" xfId="0" applyNumberFormat="1" applyFont="1" applyBorder="1" applyAlignment="1">
      <alignment horizontal="right" vertical="center" wrapText="1"/>
    </xf>
    <xf numFmtId="4" fontId="14" fillId="0" borderId="1" xfId="0" applyNumberFormat="1" applyFont="1" applyBorder="1" applyAlignment="1">
      <alignment horizontal="right" vertical="center" wrapText="1"/>
    </xf>
    <xf numFmtId="14" fontId="3" fillId="0" borderId="0" xfId="0" applyNumberFormat="1" applyFont="1" applyAlignment="1">
      <alignment vertical="center"/>
    </xf>
    <xf numFmtId="0" fontId="16" fillId="0" borderId="0" xfId="0" applyFont="1"/>
    <xf numFmtId="10" fontId="3" fillId="0" borderId="1" xfId="2" applyNumberFormat="1" applyFont="1" applyBorder="1" applyAlignment="1">
      <alignment vertical="center"/>
    </xf>
    <xf numFmtId="165" fontId="14" fillId="0" borderId="1" xfId="0" applyNumberFormat="1" applyFont="1" applyBorder="1" applyAlignment="1">
      <alignment horizontal="right" vertical="center" wrapText="1"/>
    </xf>
    <xf numFmtId="0" fontId="5" fillId="0" borderId="1" xfId="0" applyFont="1" applyBorder="1" applyAlignment="1">
      <alignment vertical="center"/>
    </xf>
    <xf numFmtId="0" fontId="18" fillId="0" borderId="1" xfId="0" applyFont="1" applyBorder="1" applyAlignment="1">
      <alignment horizontal="left" vertical="top" wrapText="1"/>
    </xf>
    <xf numFmtId="0" fontId="2" fillId="2" borderId="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6" fillId="0" borderId="0" xfId="0" applyFont="1" applyAlignment="1">
      <alignment horizontal="left" wrapText="1"/>
    </xf>
    <xf numFmtId="0" fontId="5" fillId="0" borderId="0" xfId="0" applyFont="1" applyAlignment="1">
      <alignment horizontal="center" vertical="center"/>
    </xf>
    <xf numFmtId="0" fontId="6" fillId="0" borderId="0" xfId="0" applyFont="1" applyAlignment="1">
      <alignment horizontal="center" vertical="center"/>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32" xfId="0" applyFont="1" applyBorder="1" applyAlignment="1">
      <alignment horizontal="left" vertical="center" wrapText="1"/>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39" xfId="0" applyFont="1" applyBorder="1" applyAlignment="1">
      <alignment horizontal="left" vertical="center" wrapText="1"/>
    </xf>
    <xf numFmtId="0" fontId="5"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35" xfId="0" applyFont="1" applyBorder="1" applyAlignment="1">
      <alignment horizontal="left" vertical="center" wrapText="1"/>
    </xf>
    <xf numFmtId="0" fontId="5" fillId="0" borderId="39"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2" xfId="0" applyFont="1" applyBorder="1" applyAlignment="1">
      <alignment horizontal="left" vertical="center" wrapText="1"/>
    </xf>
    <xf numFmtId="0" fontId="8" fillId="0" borderId="23" xfId="0" applyFont="1" applyBorder="1" applyAlignment="1">
      <alignment horizontal="left" vertical="center"/>
    </xf>
    <xf numFmtId="0" fontId="8" fillId="0" borderId="25"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19" fillId="0" borderId="0" xfId="0" applyFont="1" applyAlignment="1">
      <alignment vertical="center"/>
    </xf>
    <xf numFmtId="0" fontId="20" fillId="0" borderId="0" xfId="0" applyFont="1"/>
    <xf numFmtId="0" fontId="21" fillId="0" borderId="0" xfId="0" applyFont="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left" vertical="top" wrapText="1"/>
    </xf>
    <xf numFmtId="0" fontId="20" fillId="0" borderId="1" xfId="0" applyFont="1" applyBorder="1"/>
    <xf numFmtId="0" fontId="20" fillId="0" borderId="1" xfId="0" applyFont="1" applyBorder="1" applyAlignment="1">
      <alignment horizontal="left" wrapText="1"/>
    </xf>
    <xf numFmtId="0" fontId="20" fillId="0" borderId="3" xfId="0" applyFont="1" applyBorder="1" applyAlignment="1">
      <alignment horizontal="left" vertical="top"/>
    </xf>
    <xf numFmtId="0" fontId="20" fillId="0" borderId="1" xfId="0" applyFont="1" applyBorder="1" applyAlignment="1">
      <alignment horizontal="left" vertical="top"/>
    </xf>
    <xf numFmtId="0" fontId="20" fillId="0" borderId="40" xfId="0" applyFont="1" applyBorder="1" applyAlignment="1">
      <alignment horizontal="left" vertical="top"/>
    </xf>
    <xf numFmtId="0" fontId="20" fillId="0" borderId="1" xfId="0" applyFont="1" applyBorder="1" applyAlignment="1">
      <alignment horizontal="left" vertical="top" wrapText="1"/>
    </xf>
    <xf numFmtId="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65" fontId="20" fillId="0" borderId="1" xfId="0" applyNumberFormat="1" applyFont="1" applyBorder="1" applyAlignment="1">
      <alignment horizontal="center" vertical="center"/>
    </xf>
    <xf numFmtId="0" fontId="20" fillId="0" borderId="2" xfId="0" applyFont="1" applyBorder="1" applyAlignment="1">
      <alignment horizontal="left" vertical="top"/>
    </xf>
    <xf numFmtId="0" fontId="20" fillId="0" borderId="0" xfId="0" applyFont="1" applyAlignment="1">
      <alignment horizontal="center"/>
    </xf>
    <xf numFmtId="167" fontId="4" fillId="0" borderId="1" xfId="0" applyNumberFormat="1" applyFont="1" applyBorder="1" applyAlignment="1">
      <alignment horizontal="center" vertical="center"/>
    </xf>
    <xf numFmtId="0" fontId="22" fillId="0" borderId="0" xfId="0" applyFont="1" applyAlignment="1">
      <alignment vertical="center"/>
    </xf>
    <xf numFmtId="0" fontId="4" fillId="0" borderId="1" xfId="0" applyFont="1" applyBorder="1" applyAlignment="1">
      <alignment horizontal="left" vertical="center" wrapText="1"/>
    </xf>
    <xf numFmtId="10" fontId="4" fillId="0" borderId="1" xfId="2" applyNumberFormat="1" applyFont="1" applyBorder="1" applyAlignment="1">
      <alignment vertical="center"/>
    </xf>
    <xf numFmtId="0" fontId="4" fillId="0" borderId="0" xfId="0" applyFont="1" applyAlignment="1">
      <alignment vertical="center"/>
    </xf>
    <xf numFmtId="4" fontId="8" fillId="0" borderId="19" xfId="0" applyNumberFormat="1" applyFont="1" applyBorder="1" applyAlignment="1">
      <alignment vertical="center"/>
    </xf>
    <xf numFmtId="4" fontId="5" fillId="0" borderId="0" xfId="0" applyNumberFormat="1"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xf>
    <xf numFmtId="10" fontId="3" fillId="0" borderId="1" xfId="2" applyNumberFormat="1" applyFont="1" applyFill="1" applyBorder="1" applyAlignment="1">
      <alignment vertical="center"/>
    </xf>
    <xf numFmtId="0" fontId="3" fillId="0" borderId="0" xfId="0" applyFont="1" applyFill="1" applyAlignment="1">
      <alignment vertical="center"/>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40" xfId="0" applyFont="1" applyBorder="1" applyAlignment="1">
      <alignment horizontal="left" vertical="top" wrapText="1"/>
    </xf>
    <xf numFmtId="165" fontId="4" fillId="0" borderId="1" xfId="0" applyNumberFormat="1" applyFont="1" applyBorder="1" applyAlignment="1">
      <alignment horizontal="center" vertical="center"/>
    </xf>
    <xf numFmtId="0" fontId="4" fillId="0" borderId="2" xfId="0" applyFont="1" applyBorder="1" applyAlignment="1">
      <alignment horizontal="left" vertical="top" wrapText="1"/>
    </xf>
    <xf numFmtId="0" fontId="19" fillId="0" borderId="0" xfId="0" applyFont="1" applyAlignment="1">
      <alignment horizontal="center" vertical="center"/>
    </xf>
  </cellXfs>
  <cellStyles count="4">
    <cellStyle name="Normal" xfId="0" builtinId="0"/>
    <cellStyle name="Normal 5" xfId="1" xr:uid="{3EFEC9E6-044F-4BD1-83CF-81B2EC885F3A}"/>
    <cellStyle name="Normal 7" xfId="3" xr:uid="{4C4FDBAE-7F6F-44CD-A1A1-8DE56D89F97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2ADF-5856-4AEA-8121-196DAEB42F9A}">
  <sheetPr>
    <pageSetUpPr fitToPage="1"/>
  </sheetPr>
  <dimension ref="A1:E66"/>
  <sheetViews>
    <sheetView tabSelected="1" topLeftCell="A16" workbookViewId="0">
      <selection activeCell="H14" sqref="H14"/>
    </sheetView>
  </sheetViews>
  <sheetFormatPr defaultRowHeight="15" x14ac:dyDescent="0.25"/>
  <cols>
    <col min="1" max="1" width="28.7109375" style="125" customWidth="1"/>
    <col min="2" max="2" width="51.140625" style="125" customWidth="1"/>
    <col min="3" max="3" width="53.85546875" style="125" customWidth="1"/>
    <col min="4" max="4" width="9.140625" style="125"/>
    <col min="5" max="5" width="12.42578125" style="125" customWidth="1"/>
    <col min="6" max="16384" width="9.140625" style="125"/>
  </cols>
  <sheetData>
    <row r="1" spans="1:5" x14ac:dyDescent="0.25">
      <c r="A1" s="124" t="s">
        <v>207</v>
      </c>
    </row>
    <row r="2" spans="1:5" x14ac:dyDescent="0.25">
      <c r="A2" s="124" t="s">
        <v>192</v>
      </c>
    </row>
    <row r="3" spans="1:5" x14ac:dyDescent="0.25">
      <c r="A3" s="124" t="s">
        <v>193</v>
      </c>
    </row>
    <row r="4" spans="1:5" x14ac:dyDescent="0.25">
      <c r="A4" s="124" t="s">
        <v>194</v>
      </c>
    </row>
    <row r="5" spans="1:5" x14ac:dyDescent="0.25">
      <c r="A5" s="124" t="s">
        <v>195</v>
      </c>
    </row>
    <row r="8" spans="1:5" x14ac:dyDescent="0.25">
      <c r="A8" s="126" t="s">
        <v>196</v>
      </c>
      <c r="B8" s="126"/>
      <c r="C8" s="126"/>
      <c r="D8" s="126"/>
      <c r="E8" s="126"/>
    </row>
    <row r="9" spans="1:5" x14ac:dyDescent="0.25">
      <c r="A9" s="127" t="s">
        <v>197</v>
      </c>
      <c r="B9" s="127"/>
      <c r="C9" s="127"/>
      <c r="D9" s="127"/>
      <c r="E9" s="127"/>
    </row>
    <row r="11" spans="1:5" ht="60" customHeight="1" x14ac:dyDescent="0.25">
      <c r="A11" s="84" t="s">
        <v>198</v>
      </c>
      <c r="B11" s="128" t="s">
        <v>204</v>
      </c>
      <c r="C11" s="128"/>
      <c r="D11" s="128"/>
      <c r="E11" s="128"/>
    </row>
    <row r="12" spans="1:5" ht="45" customHeight="1" x14ac:dyDescent="0.25">
      <c r="A12" s="129" t="s">
        <v>199</v>
      </c>
      <c r="B12" s="130" t="s">
        <v>200</v>
      </c>
      <c r="C12" s="130"/>
      <c r="D12" s="130"/>
      <c r="E12" s="130"/>
    </row>
    <row r="13" spans="1:5" ht="106.5" customHeight="1" x14ac:dyDescent="0.25">
      <c r="A13" s="131" t="s">
        <v>201</v>
      </c>
      <c r="B13" s="132" t="s">
        <v>202</v>
      </c>
      <c r="C13" s="128" t="s">
        <v>205</v>
      </c>
      <c r="D13" s="128"/>
      <c r="E13" s="128"/>
    </row>
    <row r="14" spans="1:5" ht="30" x14ac:dyDescent="0.25">
      <c r="A14" s="133"/>
      <c r="B14" s="131" t="s">
        <v>203</v>
      </c>
      <c r="C14" s="134" t="str">
        <f>'PROCENT CRESTERE'!B3</f>
        <v>Maturat manual si intretinere cai publice (inclusiv transportul si neutralizarea prin depozitare a deseurilor rezultate)</v>
      </c>
      <c r="D14" s="135">
        <f>'PROCENT CRESTERE'!D3</f>
        <v>17.494085861042617</v>
      </c>
      <c r="E14" s="136" t="str">
        <f>CONCATENATE("lei / ",'PROCENT CRESTERE'!C3)</f>
        <v>lei / 1000 mp</v>
      </c>
    </row>
    <row r="15" spans="1:5" ht="30" x14ac:dyDescent="0.25">
      <c r="A15" s="133"/>
      <c r="B15" s="133"/>
      <c r="C15" s="134" t="str">
        <f>'PROCENT CRESTERE'!B4</f>
        <v>Golire cosuri de gunoi stradale (inclusiv transportul si neutralizarea prin depozitare a deseurilor rezultate)</v>
      </c>
      <c r="D15" s="135">
        <f>'PROCENT CRESTERE'!D4</f>
        <v>473.86535351304349</v>
      </c>
      <c r="E15" s="136" t="str">
        <f>CONCATENATE("lei / ",'PROCENT CRESTERE'!C4)</f>
        <v>lei / tone</v>
      </c>
    </row>
    <row r="16" spans="1:5" ht="30" x14ac:dyDescent="0.25">
      <c r="A16" s="133"/>
      <c r="B16" s="133"/>
      <c r="C16" s="134" t="str">
        <f>'PROCENT CRESTERE'!B5</f>
        <v>Maturat si aspirat mecanizat cai publice (inclusiv transportul si neutralizarea prin depozitare a deseurilor rezultate)</v>
      </c>
      <c r="D16" s="135">
        <f>'PROCENT CRESTERE'!D5</f>
        <v>32.865941024501417</v>
      </c>
      <c r="E16" s="136" t="str">
        <f>CONCATENATE("lei / ",'PROCENT CRESTERE'!C5)</f>
        <v>lei / 1000 mp</v>
      </c>
    </row>
    <row r="17" spans="1:5" x14ac:dyDescent="0.25">
      <c r="A17" s="133"/>
      <c r="B17" s="133"/>
      <c r="C17" s="134" t="str">
        <f>'PROCENT CRESTERE'!B6</f>
        <v>Spalat mecanizat cai publice</v>
      </c>
      <c r="D17" s="135">
        <f>'PROCENT CRESTERE'!D6</f>
        <v>18.865612224243144</v>
      </c>
      <c r="E17" s="136" t="str">
        <f>CONCATENATE("lei / ",'PROCENT CRESTERE'!C6)</f>
        <v>lei / 1000 mp</v>
      </c>
    </row>
    <row r="18" spans="1:5" x14ac:dyDescent="0.25">
      <c r="A18" s="133"/>
      <c r="B18" s="133"/>
      <c r="C18" s="134" t="str">
        <f>'PROCENT CRESTERE'!B7</f>
        <v>Stropire mecanizata cai publice</v>
      </c>
      <c r="D18" s="135">
        <f>'PROCENT CRESTERE'!D7</f>
        <v>48.163847941724093</v>
      </c>
      <c r="E18" s="136" t="str">
        <f>CONCATENATE("lei / ",'PROCENT CRESTERE'!C7)</f>
        <v>lei / 1000 mp</v>
      </c>
    </row>
    <row r="19" spans="1:5" ht="45" x14ac:dyDescent="0.25">
      <c r="A19" s="133"/>
      <c r="B19" s="133"/>
      <c r="C19" s="134" t="str">
        <f>'PROCENT CRESTERE'!B8</f>
        <v>Curatare manuala canale pluviale/rigole (inclusiv transportul si neutralizarea prin depozitare a materialelor grosiere rezultate)</v>
      </c>
      <c r="D19" s="135">
        <f>'PROCENT CRESTERE'!D8</f>
        <v>1.6167693192994153</v>
      </c>
      <c r="E19" s="136" t="str">
        <f>CONCATENATE("lei / ",'PROCENT CRESTERE'!C8)</f>
        <v>lei / ml</v>
      </c>
    </row>
    <row r="20" spans="1:5" ht="45" x14ac:dyDescent="0.25">
      <c r="A20" s="133"/>
      <c r="B20" s="133"/>
      <c r="C20" s="134" t="str">
        <f>'PROCENT CRESTERE'!B9</f>
        <v>Curatare mecanizata canale pluviale neamenajate (inclusiv transportul si neutralizarea prin depozitare a materialelor grosiere rezultate)</v>
      </c>
      <c r="D20" s="135">
        <f>'PROCENT CRESTERE'!D9</f>
        <v>6.1440545574134218</v>
      </c>
      <c r="E20" s="136" t="str">
        <f>CONCATENATE("lei / ",'PROCENT CRESTERE'!C9)</f>
        <v>lei / ml</v>
      </c>
    </row>
    <row r="21" spans="1:5" ht="45" x14ac:dyDescent="0.25">
      <c r="A21" s="133"/>
      <c r="B21" s="133"/>
      <c r="C21" s="134" t="str">
        <f>'PROCENT CRESTERE'!B10</f>
        <v>Colectarea cadavrelor animalelor de pe domeniul public si predarea acestora catre unitatile de ecarisaj sau catre instalatiile de neutralizare</v>
      </c>
      <c r="D21" s="135">
        <f>'PROCENT CRESTERE'!D10</f>
        <v>51.760989536644509</v>
      </c>
      <c r="E21" s="136" t="str">
        <f>CONCATENATE("lei / ",'PROCENT CRESTERE'!C10)</f>
        <v>lei / kg</v>
      </c>
    </row>
    <row r="22" spans="1:5" ht="30" x14ac:dyDescent="0.25">
      <c r="A22" s="133"/>
      <c r="B22" s="133"/>
      <c r="C22" s="134" t="str">
        <f>'PROCENT CRESTERE'!B11</f>
        <v>Colectarea, transportul și depozitarea deșeurilor vegetale de pe domeniul public și privat al municipiului</v>
      </c>
      <c r="D22" s="135">
        <f>'PROCENT CRESTERE'!D11</f>
        <v>1053.7169331807381</v>
      </c>
      <c r="E22" s="136" t="str">
        <f>CONCATENATE("lei / ",'PROCENT CRESTERE'!C11)</f>
        <v>lei / tone</v>
      </c>
    </row>
    <row r="23" spans="1:5" ht="60" x14ac:dyDescent="0.25">
      <c r="A23" s="133"/>
      <c r="B23" s="133"/>
      <c r="C23" s="134" t="str">
        <f>'PROCENT CRESTERE'!B12</f>
        <v>Colectarea, transportul și depozitarea deșeurilor clandestine (depozite de deșeuri abandonate în alte locuri decât locurile special amenajate) de pe domeniul public și privat al municipiului și de pe domeniul privat al terților</v>
      </c>
      <c r="D23" s="135">
        <f>'PROCENT CRESTERE'!D12</f>
        <v>569.45892042076662</v>
      </c>
      <c r="E23" s="136" t="str">
        <f>CONCATENATE("lei / ",'PROCENT CRESTERE'!C12)</f>
        <v>lei / tone</v>
      </c>
    </row>
    <row r="24" spans="1:5" x14ac:dyDescent="0.25">
      <c r="A24" s="133"/>
      <c r="B24" s="133"/>
      <c r="C24" s="134" t="str">
        <f>'PROCENT CRESTERE'!B13</f>
        <v>Decolmatarea șanțurilor deschise de captare a apelor pluviale</v>
      </c>
      <c r="D24" s="135">
        <f>'PROCENT CRESTERE'!D13</f>
        <v>6.4406246637987437</v>
      </c>
      <c r="E24" s="136" t="str">
        <f>CONCATENATE("lei / ",'PROCENT CRESTERE'!C13)</f>
        <v>lei / ml</v>
      </c>
    </row>
    <row r="25" spans="1:5" ht="30" x14ac:dyDescent="0.25">
      <c r="A25" s="133"/>
      <c r="B25" s="133"/>
      <c r="C25" s="134" t="str">
        <f>'PROCENT CRESTERE'!B15</f>
        <v>tarif curăţat zăpadă mecanizat cu autospeciale/utilaje echipate cu lamă/plug;</v>
      </c>
      <c r="D25" s="137">
        <f>'PROCENT CRESTERE'!D15</f>
        <v>4.7870388947040135E-3</v>
      </c>
      <c r="E25" s="136" t="str">
        <f>CONCATENATE("lei / ",'PROCENT CRESTERE'!C15)</f>
        <v>lei /  mp</v>
      </c>
    </row>
    <row r="26" spans="1:5" ht="45" x14ac:dyDescent="0.25">
      <c r="A26" s="133"/>
      <c r="B26" s="133"/>
      <c r="C26" s="134" t="str">
        <f>'PROCENT CRESTERE'!B16</f>
        <v>tarif curăţat zăpadă mecanizat cu autospeciale/utilaje din categoria freză, pe căile publice specificate distinct în caietul de sarcini;</v>
      </c>
      <c r="D26" s="135">
        <f>'PROCENT CRESTERE'!D16</f>
        <v>41.521625887192513</v>
      </c>
      <c r="E26" s="136" t="str">
        <f>CONCATENATE("lei / ",'PROCENT CRESTERE'!C16)</f>
        <v>lei / mp</v>
      </c>
    </row>
    <row r="27" spans="1:5" ht="30" x14ac:dyDescent="0.25">
      <c r="A27" s="133"/>
      <c r="B27" s="133"/>
      <c r="C27" s="134" t="str">
        <f>'PROCENT CRESTERE'!B17</f>
        <v>tarif curăţat zăpadă manual, inclusiv staţii publice de îmbarcare-debarcare călători şi refugii;</v>
      </c>
      <c r="D27" s="135">
        <f>'PROCENT CRESTERE'!D17</f>
        <v>0.19342028080215246</v>
      </c>
      <c r="E27" s="136" t="str">
        <f>CONCATENATE("lei / ",'PROCENT CRESTERE'!C17)</f>
        <v>lei / mp</v>
      </c>
    </row>
    <row r="28" spans="1:5" ht="30" x14ac:dyDescent="0.25">
      <c r="A28" s="133"/>
      <c r="B28" s="133"/>
      <c r="C28" s="134" t="str">
        <f>'PROCENT CRESTERE'!B18</f>
        <v>tarif curăţat gheaţă manual, inclusiv staţii publice de îmbarcare-debarcare călători şi refugii;</v>
      </c>
      <c r="D28" s="135">
        <f>'PROCENT CRESTERE'!D18</f>
        <v>0.24174729909342363</v>
      </c>
      <c r="E28" s="136" t="str">
        <f>CONCATENATE("lei / ",'PROCENT CRESTERE'!C18)</f>
        <v>lei / mp</v>
      </c>
    </row>
    <row r="29" spans="1:5" x14ac:dyDescent="0.25">
      <c r="A29" s="133"/>
      <c r="B29" s="133"/>
      <c r="C29" s="134" t="str">
        <f>'PROCENT CRESTERE'!B19</f>
        <v>tarif încărcat mecanizat şi transport zăpadă;</v>
      </c>
      <c r="D29" s="135">
        <f>'PROCENT CRESTERE'!D19</f>
        <v>2.5090813336974245</v>
      </c>
      <c r="E29" s="136" t="str">
        <f>CONCATENATE("lei / ",'PROCENT CRESTERE'!C19)</f>
        <v>lei / mc</v>
      </c>
    </row>
    <row r="30" spans="1:5" x14ac:dyDescent="0.25">
      <c r="A30" s="133"/>
      <c r="B30" s="133"/>
      <c r="C30" s="134" t="str">
        <f>'PROCENT CRESTERE'!B20</f>
        <v>tarif împrăştiat mecanic material antiderapant, de tip sare;</v>
      </c>
      <c r="D30" s="137">
        <f>'PROCENT CRESTERE'!D20</f>
        <v>8.1426789787616694E-3</v>
      </c>
      <c r="E30" s="136" t="str">
        <f>CONCATENATE("lei / ",'PROCENT CRESTERE'!C20)</f>
        <v>lei / mp</v>
      </c>
    </row>
    <row r="31" spans="1:5" x14ac:dyDescent="0.25">
      <c r="A31" s="133"/>
      <c r="B31" s="133"/>
      <c r="C31" s="134" t="str">
        <f>'PROCENT CRESTERE'!B21</f>
        <v>tarif împrăştiat manual material antiderapant, de tip sare;</v>
      </c>
      <c r="D31" s="137">
        <f>'PROCENT CRESTERE'!D21</f>
        <v>3.4477394894738651E-3</v>
      </c>
      <c r="E31" s="136" t="str">
        <f>CONCATENATE("lei / ",'PROCENT CRESTERE'!C21)</f>
        <v>lei / mp</v>
      </c>
    </row>
    <row r="32" spans="1:5" ht="30" x14ac:dyDescent="0.25">
      <c r="A32" s="133"/>
      <c r="B32" s="133"/>
      <c r="C32" s="134" t="str">
        <f>'PROCENT CRESTERE'!B22</f>
        <v>tarif împrăştiat mecanic material antiderapant, de tip sare și nisip;</v>
      </c>
      <c r="D32" s="137">
        <f>'PROCENT CRESTERE'!D22</f>
        <v>8.2500230261128536E-3</v>
      </c>
      <c r="E32" s="136" t="str">
        <f>CONCATENATE("lei / ",'PROCENT CRESTERE'!C22)</f>
        <v>lei / mp</v>
      </c>
    </row>
    <row r="33" spans="1:5" ht="30" x14ac:dyDescent="0.25">
      <c r="A33" s="133"/>
      <c r="B33" s="133"/>
      <c r="C33" s="134" t="str">
        <f>'PROCENT CRESTERE'!B23</f>
        <v>tarif împrăştiat manual material antiderapant, de tip sare și nisip;</v>
      </c>
      <c r="D33" s="140">
        <f>'PROCENT CRESTERE'!D23</f>
        <v>2.2305686351356199E-2</v>
      </c>
      <c r="E33" s="136" t="str">
        <f>CONCATENATE("lei / ",'PROCENT CRESTERE'!C23)</f>
        <v>lei / mp</v>
      </c>
    </row>
    <row r="34" spans="1:5" ht="45" x14ac:dyDescent="0.25">
      <c r="A34" s="133"/>
      <c r="B34" s="133"/>
      <c r="C34" s="134" t="str">
        <f>'PROCENT CRESTERE'!B24</f>
        <v>tarif împrăştiat mecanic material antiderapant, de tip sare cu injecţie de soluţie de clorură de calciu, în pondere conform caiet de sarcini;</v>
      </c>
      <c r="D34" s="137">
        <f>'PROCENT CRESTERE'!D24</f>
        <v>1.7875378747889518E-2</v>
      </c>
      <c r="E34" s="136" t="str">
        <f>CONCATENATE("lei / ",'PROCENT CRESTERE'!C24)</f>
        <v>lei / mp</v>
      </c>
    </row>
    <row r="35" spans="1:5" ht="45" x14ac:dyDescent="0.25">
      <c r="A35" s="133"/>
      <c r="B35" s="133"/>
      <c r="C35" s="134" t="str">
        <f>'PROCENT CRESTERE'!B25</f>
        <v>tarif împrăştiat manual material antiderapant, de tip sare în amestec cu clorură de calciu solidă, în pondere conform caiet de sarcini;</v>
      </c>
      <c r="D35" s="137">
        <f>'PROCENT CRESTERE'!D25</f>
        <v>3.1636282455984537E-2</v>
      </c>
      <c r="E35" s="136" t="str">
        <f>CONCATENATE("lei / ",'PROCENT CRESTERE'!C25)</f>
        <v>lei / mp</v>
      </c>
    </row>
    <row r="36" spans="1:5" ht="45" x14ac:dyDescent="0.25">
      <c r="A36" s="133"/>
      <c r="B36" s="133"/>
      <c r="C36" s="134" t="str">
        <f>'PROCENT CRESTERE'!B26</f>
        <v>tarif împrăştiat mecanic material antiderapant, de tip sare cu injecţie de soluţie de clorură de magneziu, în pondere conform caiet de sarcini;</v>
      </c>
      <c r="D36" s="137">
        <f>'PROCENT CRESTERE'!D26</f>
        <v>2.0566251560398523E-2</v>
      </c>
      <c r="E36" s="136" t="str">
        <f>CONCATENATE("lei / ",'PROCENT CRESTERE'!C26)</f>
        <v>lei / mp</v>
      </c>
    </row>
    <row r="37" spans="1:5" ht="45" x14ac:dyDescent="0.25">
      <c r="A37" s="138"/>
      <c r="B37" s="138"/>
      <c r="C37" s="134" t="str">
        <f>'PROCENT CRESTERE'!B27</f>
        <v>tarif împrăştiat manual material antiderapant, de tip sare în amestec cu clorură de magneziu solidă, în pondere conform caiet de sarcini.</v>
      </c>
      <c r="D37" s="137">
        <f>'PROCENT CRESTERE'!D27</f>
        <v>3.4132566843172236E-2</v>
      </c>
      <c r="E37" s="136" t="str">
        <f>CONCATENATE("lei / ",'PROCENT CRESTERE'!C27)</f>
        <v>lei / mp</v>
      </c>
    </row>
    <row r="38" spans="1:5" ht="75" customHeight="1" x14ac:dyDescent="0.25">
      <c r="A38" s="152" t="s">
        <v>206</v>
      </c>
      <c r="B38" s="152" t="s">
        <v>208</v>
      </c>
      <c r="C38" s="153" t="str">
        <f>'PROCENT CRESTERE'!B3</f>
        <v>Maturat manual si intretinere cai publice (inclusiv transportul si neutralizarea prin depozitare a deseurilor rezultate)</v>
      </c>
      <c r="D38" s="64">
        <f>'PROCENT CRESTERE'!E3</f>
        <v>19.236496812802457</v>
      </c>
      <c r="E38" s="6" t="str">
        <f>CONCATENATE("lei / ",'PROCENT CRESTERE'!C3)</f>
        <v>lei / 1000 mp</v>
      </c>
    </row>
    <row r="39" spans="1:5" ht="30" x14ac:dyDescent="0.25">
      <c r="A39" s="154"/>
      <c r="B39" s="154"/>
      <c r="C39" s="153" t="str">
        <f>'PROCENT CRESTERE'!B4</f>
        <v>Golire cosuri de gunoi stradale (inclusiv transportul si neutralizarea prin depozitare a deseurilor rezultate)</v>
      </c>
      <c r="D39" s="64">
        <f>'PROCENT CRESTERE'!E4</f>
        <v>521.06234289330905</v>
      </c>
      <c r="E39" s="6" t="str">
        <f>CONCATENATE("lei / ",'PROCENT CRESTERE'!C4)</f>
        <v>lei / tone</v>
      </c>
    </row>
    <row r="40" spans="1:5" ht="30" x14ac:dyDescent="0.25">
      <c r="A40" s="154"/>
      <c r="B40" s="154"/>
      <c r="C40" s="153" t="str">
        <f>'PROCENT CRESTERE'!B5</f>
        <v>Maturat si aspirat mecanizat cai publice (inclusiv transportul si neutralizarea prin depozitare a deseurilor rezultate)</v>
      </c>
      <c r="D40" s="64">
        <f>'PROCENT CRESTERE'!E5</f>
        <v>36.139388735570506</v>
      </c>
      <c r="E40" s="6" t="str">
        <f>CONCATENATE("lei / ",'PROCENT CRESTERE'!C5)</f>
        <v>lei / 1000 mp</v>
      </c>
    </row>
    <row r="41" spans="1:5" x14ac:dyDescent="0.25">
      <c r="A41" s="154"/>
      <c r="B41" s="154"/>
      <c r="C41" s="153" t="str">
        <f>'PROCENT CRESTERE'!B6</f>
        <v>Spalat mecanizat cai publice</v>
      </c>
      <c r="D41" s="64">
        <f>'PROCENT CRESTERE'!E6</f>
        <v>20.74462720177776</v>
      </c>
      <c r="E41" s="6" t="str">
        <f>CONCATENATE("lei / ",'PROCENT CRESTERE'!C6)</f>
        <v>lei / 1000 mp</v>
      </c>
    </row>
    <row r="42" spans="1:5" x14ac:dyDescent="0.25">
      <c r="A42" s="154"/>
      <c r="B42" s="154"/>
      <c r="C42" s="153" t="str">
        <f>'PROCENT CRESTERE'!B7</f>
        <v>Stropire mecanizata cai publice</v>
      </c>
      <c r="D42" s="64">
        <f>'PROCENT CRESTERE'!E7</f>
        <v>52.960967196719814</v>
      </c>
      <c r="E42" s="6" t="str">
        <f>CONCATENATE("lei / ",'PROCENT CRESTERE'!C7)</f>
        <v>lei / 1000 mp</v>
      </c>
    </row>
    <row r="43" spans="1:5" ht="45" x14ac:dyDescent="0.25">
      <c r="A43" s="154"/>
      <c r="B43" s="154"/>
      <c r="C43" s="153" t="str">
        <f>'PROCENT CRESTERE'!B8</f>
        <v>Curatare manuala canale pluviale/rigole (inclusiv transportul si neutralizarea prin depozitare a materialelor grosiere rezultate)</v>
      </c>
      <c r="D43" s="64">
        <f>'PROCENT CRESTERE'!E8</f>
        <v>1.7777995435016365</v>
      </c>
      <c r="E43" s="6" t="str">
        <f>CONCATENATE("lei / ",'PROCENT CRESTERE'!C8)</f>
        <v>lei / ml</v>
      </c>
    </row>
    <row r="44" spans="1:5" ht="45" x14ac:dyDescent="0.25">
      <c r="A44" s="154"/>
      <c r="B44" s="154"/>
      <c r="C44" s="153" t="str">
        <f>'PROCENT CRESTERE'!B9</f>
        <v>Curatare mecanizata canale pluviale neamenajate (inclusiv transportul si neutralizarea prin depozitare a materialelor grosiere rezultate)</v>
      </c>
      <c r="D44" s="64">
        <f>'PROCENT CRESTERE'!E9</f>
        <v>6.7560023913317986</v>
      </c>
      <c r="E44" s="6" t="str">
        <f>CONCATENATE("lei / ",'PROCENT CRESTERE'!C9)</f>
        <v>lei / ml</v>
      </c>
    </row>
    <row r="45" spans="1:5" ht="45" x14ac:dyDescent="0.25">
      <c r="A45" s="154"/>
      <c r="B45" s="154"/>
      <c r="C45" s="153" t="str">
        <f>'PROCENT CRESTERE'!B10</f>
        <v>Colectarea cadavrelor animalelor de pe domeniul public si predarea acestora catre unitatile de ecarisaj sau catre instalatiile de neutralizare</v>
      </c>
      <c r="D45" s="64">
        <f>'PROCENT CRESTERE'!E10</f>
        <v>56.916384094494305</v>
      </c>
      <c r="E45" s="6" t="str">
        <f>CONCATENATE("lei / ",'PROCENT CRESTERE'!C10)</f>
        <v>lei / kg</v>
      </c>
    </row>
    <row r="46" spans="1:5" ht="30" x14ac:dyDescent="0.25">
      <c r="A46" s="154"/>
      <c r="B46" s="154"/>
      <c r="C46" s="153" t="str">
        <f>'PROCENT CRESTERE'!B11</f>
        <v>Colectarea, transportul și depozitarea deșeurilor vegetale de pe domeniul public și privat al municipiului</v>
      </c>
      <c r="D46" s="64">
        <f>'PROCENT CRESTERE'!E11</f>
        <v>1158.6671397255393</v>
      </c>
      <c r="E46" s="6" t="str">
        <f>CONCATENATE("lei / ",'PROCENT CRESTERE'!C11)</f>
        <v>lei / tone</v>
      </c>
    </row>
    <row r="47" spans="1:5" ht="60" x14ac:dyDescent="0.25">
      <c r="A47" s="154"/>
      <c r="B47" s="154"/>
      <c r="C47" s="153" t="str">
        <f>'PROCENT CRESTERE'!B12</f>
        <v>Colectarea, transportul și depozitarea deșeurilor clandestine (depozite de deșeuri abandonate în alte locuri decât locurile special amenajate) de pe domeniul public și privat al municipiului și de pe domeniul privat al terților</v>
      </c>
      <c r="D47" s="64">
        <f>'PROCENT CRESTERE'!E12</f>
        <v>626.17702896021729</v>
      </c>
      <c r="E47" s="6" t="str">
        <f>CONCATENATE("lei / ",'PROCENT CRESTERE'!C12)</f>
        <v>lei / tone</v>
      </c>
    </row>
    <row r="48" spans="1:5" x14ac:dyDescent="0.25">
      <c r="A48" s="154"/>
      <c r="B48" s="154"/>
      <c r="C48" s="153" t="str">
        <f>'PROCENT CRESTERE'!B13</f>
        <v>Decolmatarea șanțurilor deschise de captare a apelor pluviale</v>
      </c>
      <c r="D48" s="64">
        <f>'PROCENT CRESTERE'!E13</f>
        <v>7.082110880313099</v>
      </c>
      <c r="E48" s="6" t="str">
        <f>CONCATENATE("lei / ",'PROCENT CRESTERE'!C13)</f>
        <v>lei / ml</v>
      </c>
    </row>
    <row r="49" spans="1:5" ht="30" x14ac:dyDescent="0.25">
      <c r="A49" s="154"/>
      <c r="B49" s="154"/>
      <c r="C49" s="153" t="str">
        <f>'PROCENT CRESTERE'!B15</f>
        <v>tarif curăţat zăpadă mecanizat cu autospeciale/utilaje echipate cu lamă/plug;</v>
      </c>
      <c r="D49" s="155">
        <f>'PROCENT CRESTERE'!E15</f>
        <v>5.263827968616532E-3</v>
      </c>
      <c r="E49" s="6" t="str">
        <f>CONCATENATE("lei / ",'PROCENT CRESTERE'!C15)</f>
        <v>lei /  mp</v>
      </c>
    </row>
    <row r="50" spans="1:5" ht="45" x14ac:dyDescent="0.25">
      <c r="A50" s="154"/>
      <c r="B50" s="154"/>
      <c r="C50" s="153" t="str">
        <f>'PROCENT CRESTERE'!B16</f>
        <v>tarif curăţat zăpadă mecanizat cu autospeciale/utilaje din categoria freză, pe căile publice specificate distinct în caietul de sarcini;</v>
      </c>
      <c r="D50" s="64">
        <f>'PROCENT CRESTERE'!E16</f>
        <v>45.657179825556888</v>
      </c>
      <c r="E50" s="6" t="str">
        <f>CONCATENATE("lei / ",'PROCENT CRESTERE'!C16)</f>
        <v>lei / mp</v>
      </c>
    </row>
    <row r="51" spans="1:5" ht="30" x14ac:dyDescent="0.25">
      <c r="A51" s="154"/>
      <c r="B51" s="154"/>
      <c r="C51" s="153" t="str">
        <f>'PROCENT CRESTERE'!B17</f>
        <v>tarif curăţat zăpadă manual, inclusiv staţii publice de îmbarcare-debarcare călători şi refugii;</v>
      </c>
      <c r="D51" s="64">
        <f>'PROCENT CRESTERE'!E17</f>
        <v>0.21268494077004679</v>
      </c>
      <c r="E51" s="6" t="str">
        <f>CONCATENATE("lei / ",'PROCENT CRESTERE'!C17)</f>
        <v>lei / mp</v>
      </c>
    </row>
    <row r="52" spans="1:5" ht="30" x14ac:dyDescent="0.25">
      <c r="A52" s="154"/>
      <c r="B52" s="154"/>
      <c r="C52" s="153" t="str">
        <f>'PROCENT CRESTERE'!B18</f>
        <v>tarif curăţat gheaţă manual, inclusiv staţii publice de îmbarcare-debarcare călători şi refugii;</v>
      </c>
      <c r="D52" s="64">
        <f>'PROCENT CRESTERE'!E18</f>
        <v>0.26582533008312859</v>
      </c>
      <c r="E52" s="6" t="str">
        <f>CONCATENATE("lei / ",'PROCENT CRESTERE'!C18)</f>
        <v>lei / mp</v>
      </c>
    </row>
    <row r="53" spans="1:5" x14ac:dyDescent="0.25">
      <c r="A53" s="154"/>
      <c r="B53" s="154"/>
      <c r="C53" s="153" t="str">
        <f>'PROCENT CRESTERE'!B19</f>
        <v>tarif încărcat mecanizat şi transport zăpadă;</v>
      </c>
      <c r="D53" s="64">
        <f>'PROCENT CRESTERE'!E19</f>
        <v>2.758985834533688</v>
      </c>
      <c r="E53" s="6" t="str">
        <f>CONCATENATE("lei / ",'PROCENT CRESTERE'!C19)</f>
        <v>lei / mc</v>
      </c>
    </row>
    <row r="54" spans="1:5" x14ac:dyDescent="0.25">
      <c r="A54" s="154"/>
      <c r="B54" s="154"/>
      <c r="C54" s="153" t="str">
        <f>'PROCENT CRESTERE'!B20</f>
        <v>tarif împrăştiat mecanic material antiderapant, de tip sare;</v>
      </c>
      <c r="D54" s="155">
        <f>'PROCENT CRESTERE'!E20</f>
        <v>8.9536898050463325E-3</v>
      </c>
      <c r="E54" s="6" t="str">
        <f>CONCATENATE("lei / ",'PROCENT CRESTERE'!C20)</f>
        <v>lei / mp</v>
      </c>
    </row>
    <row r="55" spans="1:5" x14ac:dyDescent="0.25">
      <c r="A55" s="154"/>
      <c r="B55" s="154"/>
      <c r="C55" s="153" t="str">
        <f>'PROCENT CRESTERE'!B21</f>
        <v>tarif împrăştiat manual material antiderapant, de tip sare;</v>
      </c>
      <c r="D55" s="155">
        <f>'PROCENT CRESTERE'!E21</f>
        <v>3.7911343426254621E-3</v>
      </c>
      <c r="E55" s="6" t="str">
        <f>CONCATENATE("lei / ",'PROCENT CRESTERE'!C21)</f>
        <v>lei / mp</v>
      </c>
    </row>
    <row r="56" spans="1:5" ht="30" x14ac:dyDescent="0.25">
      <c r="A56" s="154"/>
      <c r="B56" s="154"/>
      <c r="C56" s="153" t="str">
        <f>'PROCENT CRESTERE'!B22</f>
        <v>tarif împrăştiat mecanic material antiderapant, de tip sare și nisip;</v>
      </c>
      <c r="D56" s="155">
        <f>'PROCENT CRESTERE'!E22</f>
        <v>9.0717253195136942E-3</v>
      </c>
      <c r="E56" s="6" t="str">
        <f>CONCATENATE("lei / ",'PROCENT CRESTERE'!C22)</f>
        <v>lei / mp</v>
      </c>
    </row>
    <row r="57" spans="1:5" ht="30" x14ac:dyDescent="0.25">
      <c r="A57" s="154"/>
      <c r="B57" s="154"/>
      <c r="C57" s="153" t="str">
        <f>'PROCENT CRESTERE'!B23</f>
        <v>tarif împrăştiat manual material antiderapant, de tip sare și nisip;</v>
      </c>
      <c r="D57" s="140">
        <f>'PROCENT CRESTERE'!E23</f>
        <v>2.4527332711951275E-2</v>
      </c>
      <c r="E57" s="6" t="str">
        <f>CONCATENATE("lei / ",'PROCENT CRESTERE'!C23)</f>
        <v>lei / mp</v>
      </c>
    </row>
    <row r="58" spans="1:5" ht="45" x14ac:dyDescent="0.25">
      <c r="A58" s="154"/>
      <c r="B58" s="154"/>
      <c r="C58" s="153" t="str">
        <f>'PROCENT CRESTERE'!B24</f>
        <v>tarif împrăştiat mecanic material antiderapant, de tip sare cu injecţie de soluţie de clorură de calciu, în pondere conform caiet de sarcini;</v>
      </c>
      <c r="D58" s="155">
        <f>'PROCENT CRESTERE'!E24</f>
        <v>1.9655766471179312E-2</v>
      </c>
      <c r="E58" s="6" t="str">
        <f>CONCATENATE("lei / ",'PROCENT CRESTERE'!C24)</f>
        <v>lei / mp</v>
      </c>
    </row>
    <row r="59" spans="1:5" ht="45" x14ac:dyDescent="0.25">
      <c r="A59" s="154"/>
      <c r="B59" s="154"/>
      <c r="C59" s="153" t="str">
        <f>'PROCENT CRESTERE'!B25</f>
        <v>tarif împrăştiat manual material antiderapant, de tip sare în amestec cu clorură de calciu solidă, în pondere conform caiet de sarcini;</v>
      </c>
      <c r="D59" s="155">
        <f>'PROCENT CRESTERE'!E25</f>
        <v>3.4787256188600589E-2</v>
      </c>
      <c r="E59" s="6" t="str">
        <f>CONCATENATE("lei / ",'PROCENT CRESTERE'!C25)</f>
        <v>lei / mp</v>
      </c>
    </row>
    <row r="60" spans="1:5" ht="45" x14ac:dyDescent="0.25">
      <c r="A60" s="154"/>
      <c r="B60" s="154"/>
      <c r="C60" s="153" t="str">
        <f>'PROCENT CRESTERE'!B26</f>
        <v>tarif împrăştiat mecanic material antiderapant, de tip sare cu injecţie de soluţie de clorură de magneziu, în pondere conform caiet de sarcini;</v>
      </c>
      <c r="D60" s="155">
        <f>'PROCENT CRESTERE'!E26</f>
        <v>2.2614650215814214E-2</v>
      </c>
      <c r="E60" s="6" t="str">
        <f>CONCATENATE("lei / ",'PROCENT CRESTERE'!C26)</f>
        <v>lei / mp</v>
      </c>
    </row>
    <row r="61" spans="1:5" ht="45" x14ac:dyDescent="0.25">
      <c r="A61" s="156"/>
      <c r="B61" s="156"/>
      <c r="C61" s="153" t="str">
        <f>'PROCENT CRESTERE'!B27</f>
        <v>tarif împrăştiat manual material antiderapant, de tip sare în amestec cu clorură de magneziu solidă, în pondere conform caiet de sarcini.</v>
      </c>
      <c r="D61" s="155">
        <f>'PROCENT CRESTERE'!E27</f>
        <v>3.7532170500752179E-2</v>
      </c>
      <c r="E61" s="6" t="str">
        <f>CONCATENATE("lei / ",'PROCENT CRESTERE'!C27)</f>
        <v>lei / mp</v>
      </c>
    </row>
    <row r="63" spans="1:5" x14ac:dyDescent="0.25">
      <c r="A63" s="139" t="str">
        <f>'PROCENT CRESTERE'!A34</f>
        <v>Operator,</v>
      </c>
      <c r="B63" s="139"/>
      <c r="C63" s="139"/>
      <c r="D63" s="139"/>
      <c r="E63" s="139"/>
    </row>
    <row r="64" spans="1:5" x14ac:dyDescent="0.25">
      <c r="A64" s="139" t="str">
        <f>'PROCENT CRESTERE'!A35</f>
        <v>S.C. SYLEVY CLEANING S.R.L.</v>
      </c>
      <c r="B64" s="139"/>
      <c r="C64" s="139"/>
      <c r="D64" s="139"/>
      <c r="E64" s="139"/>
    </row>
    <row r="65" spans="1:5" x14ac:dyDescent="0.25">
      <c r="A65" s="139" t="str">
        <f>'PROCENT CRESTERE'!A36</f>
        <v>Reprezentant legal,</v>
      </c>
      <c r="B65" s="139"/>
      <c r="C65" s="139"/>
      <c r="D65" s="139"/>
      <c r="E65" s="139"/>
    </row>
    <row r="66" spans="1:5" x14ac:dyDescent="0.25">
      <c r="A66" s="139" t="str">
        <f>'PROCENT CRESTERE'!A37</f>
        <v>Szilard-Levente ILYES</v>
      </c>
      <c r="B66" s="139"/>
      <c r="C66" s="139"/>
      <c r="D66" s="139"/>
      <c r="E66" s="139"/>
    </row>
  </sheetData>
  <mergeCells count="13">
    <mergeCell ref="A66:E66"/>
    <mergeCell ref="A8:E8"/>
    <mergeCell ref="A9:E9"/>
    <mergeCell ref="A13:A37"/>
    <mergeCell ref="B38:B61"/>
    <mergeCell ref="A38:A61"/>
    <mergeCell ref="A63:E63"/>
    <mergeCell ref="A64:E64"/>
    <mergeCell ref="A65:E65"/>
    <mergeCell ref="B11:E11"/>
    <mergeCell ref="B12:E12"/>
    <mergeCell ref="C13:E13"/>
    <mergeCell ref="B14:B37"/>
  </mergeCells>
  <pageMargins left="0.41" right="0.3" top="0.41" bottom="0.45" header="0.3" footer="0.3"/>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A7B1-8985-4C90-AD6E-BE07A602CE68}">
  <sheetPr>
    <pageSetUpPr fitToPage="1"/>
  </sheetPr>
  <dimension ref="A1:H83"/>
  <sheetViews>
    <sheetView topLeftCell="A30" workbookViewId="0">
      <selection activeCell="E48" sqref="E48"/>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173</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313221.2737775569</v>
      </c>
      <c r="F7" s="23">
        <f>SUM(F8,F9,F14,F15,F16,F17,F20,F21,F22,F23,F28)</f>
        <v>344418.11264580156</v>
      </c>
    </row>
    <row r="8" spans="1:6" ht="15.75" thickBot="1" x14ac:dyDescent="0.3">
      <c r="A8" s="25" t="s">
        <v>42</v>
      </c>
      <c r="B8" s="98" t="s">
        <v>43</v>
      </c>
      <c r="C8" s="99"/>
      <c r="D8" s="26" t="s">
        <v>41</v>
      </c>
      <c r="E8" s="27">
        <v>48314.102465816672</v>
      </c>
      <c r="F8" s="33">
        <f>E8*$C$46</f>
        <v>53126.187071412009</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1000</v>
      </c>
      <c r="F14" s="33">
        <f t="shared" si="0"/>
        <v>1099.5999999999999</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603.49860000000012</v>
      </c>
      <c r="F16" s="33">
        <f t="shared" si="0"/>
        <v>663.60706056000004</v>
      </c>
    </row>
    <row r="17" spans="1:6" x14ac:dyDescent="0.25">
      <c r="A17" s="28" t="s">
        <v>60</v>
      </c>
      <c r="B17" s="100" t="s">
        <v>61</v>
      </c>
      <c r="C17" s="101"/>
      <c r="D17" s="29" t="s">
        <v>41</v>
      </c>
      <c r="E17" s="30">
        <v>1750</v>
      </c>
      <c r="F17" s="30">
        <f>SUM(F18:F19)</f>
        <v>1924.3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1750</v>
      </c>
      <c r="F19" s="33">
        <f>E19*$C$46</f>
        <v>1924.3</v>
      </c>
    </row>
    <row r="20" spans="1:6" ht="30.75" customHeight="1" x14ac:dyDescent="0.25">
      <c r="A20" s="38" t="s">
        <v>66</v>
      </c>
      <c r="B20" s="96" t="s">
        <v>67</v>
      </c>
      <c r="C20" s="97"/>
      <c r="D20" s="39" t="s">
        <v>41</v>
      </c>
      <c r="E20" s="40">
        <v>271.42271174022909</v>
      </c>
      <c r="F20" s="33">
        <f>E20*$C$46</f>
        <v>298.45641382955586</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260721</v>
      </c>
      <c r="F23" s="30">
        <f>SUM(F24:F27)</f>
        <v>286688.81160000002</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20421</v>
      </c>
      <c r="F26" s="33">
        <f>E26*$C$46</f>
        <v>22454.9316</v>
      </c>
    </row>
    <row r="27" spans="1:6" s="34" customFormat="1" ht="13.5" thickBot="1" x14ac:dyDescent="0.3">
      <c r="A27" s="35" t="s">
        <v>80</v>
      </c>
      <c r="B27" s="94" t="s">
        <v>81</v>
      </c>
      <c r="C27" s="95"/>
      <c r="D27" s="36" t="s">
        <v>41</v>
      </c>
      <c r="E27" s="37">
        <v>240300</v>
      </c>
      <c r="F27" s="33">
        <f>E27*$C$46</f>
        <v>264233.88</v>
      </c>
    </row>
    <row r="28" spans="1:6" ht="31.5" customHeight="1" thickBot="1" x14ac:dyDescent="0.3">
      <c r="A28" s="44" t="s">
        <v>82</v>
      </c>
      <c r="B28" s="122" t="s">
        <v>83</v>
      </c>
      <c r="C28" s="123"/>
      <c r="D28" s="45" t="s">
        <v>41</v>
      </c>
      <c r="E28" s="46">
        <v>561.25</v>
      </c>
      <c r="F28" s="33">
        <f>E28*$C$46</f>
        <v>617.15049999999997</v>
      </c>
    </row>
    <row r="29" spans="1:6" s="24" customFormat="1" ht="14.25" x14ac:dyDescent="0.25">
      <c r="A29" s="21" t="s">
        <v>84</v>
      </c>
      <c r="B29" s="111" t="s">
        <v>85</v>
      </c>
      <c r="C29" s="112"/>
      <c r="D29" s="22" t="s">
        <v>41</v>
      </c>
      <c r="E29" s="23">
        <v>121136.68037610334</v>
      </c>
      <c r="F29" s="23">
        <f>SUM(F30:F33)</f>
        <v>133201.89374156322</v>
      </c>
    </row>
    <row r="30" spans="1:6" x14ac:dyDescent="0.25">
      <c r="A30" s="41" t="s">
        <v>86</v>
      </c>
      <c r="B30" s="113" t="s">
        <v>87</v>
      </c>
      <c r="C30" s="114"/>
      <c r="D30" s="42" t="s">
        <v>41</v>
      </c>
      <c r="E30" s="43">
        <v>115771.65814442236</v>
      </c>
      <c r="F30" s="33">
        <f>E30*$C$46</f>
        <v>127302.51529560681</v>
      </c>
    </row>
    <row r="31" spans="1:6" x14ac:dyDescent="0.25">
      <c r="A31" s="41" t="s">
        <v>88</v>
      </c>
      <c r="B31" s="47" t="s">
        <v>89</v>
      </c>
      <c r="C31" s="48">
        <v>2.2499999999999999E-2</v>
      </c>
      <c r="D31" s="42" t="s">
        <v>41</v>
      </c>
      <c r="E31" s="43">
        <v>2604.8623082495028</v>
      </c>
      <c r="F31" s="43">
        <f>F30*C31</f>
        <v>2864.3065941511531</v>
      </c>
    </row>
    <row r="32" spans="1:6" x14ac:dyDescent="0.25">
      <c r="A32" s="41" t="s">
        <v>90</v>
      </c>
      <c r="B32" s="113" t="s">
        <v>91</v>
      </c>
      <c r="C32" s="114"/>
      <c r="D32" s="42" t="s">
        <v>41</v>
      </c>
      <c r="E32" s="43">
        <v>2760.159923431479</v>
      </c>
      <c r="F32" s="33">
        <f>E32*$C$46</f>
        <v>3035.071851805254</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434357.95415366022</v>
      </c>
      <c r="F34" s="23">
        <f>SUM(F7,F29)</f>
        <v>477620.00638736482</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434357.95415366022</v>
      </c>
      <c r="F36" s="43">
        <f>F34+F35</f>
        <v>477620.00638736482</v>
      </c>
    </row>
    <row r="37" spans="1:8" x14ac:dyDescent="0.25">
      <c r="A37" s="41" t="s">
        <v>100</v>
      </c>
      <c r="B37" s="47" t="s">
        <v>101</v>
      </c>
      <c r="C37" s="48">
        <v>1E-3</v>
      </c>
      <c r="D37" s="42" t="s">
        <v>41</v>
      </c>
      <c r="E37" s="43">
        <v>434.35795415366022</v>
      </c>
      <c r="F37" s="43">
        <f>C54</f>
        <v>477.62000638736475</v>
      </c>
    </row>
    <row r="38" spans="1:8" x14ac:dyDescent="0.25">
      <c r="A38" s="49" t="s">
        <v>102</v>
      </c>
      <c r="B38" s="50" t="s">
        <v>103</v>
      </c>
      <c r="C38" s="61">
        <f>F38/F39</f>
        <v>1.8560999466393158E-2</v>
      </c>
      <c r="D38" s="5" t="s">
        <v>41</v>
      </c>
      <c r="E38" s="51">
        <v>434792.31210781389</v>
      </c>
      <c r="F38" s="51">
        <f>F36+F37</f>
        <v>478097.62639375217</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115</v>
      </c>
      <c r="E40" s="57">
        <v>8400</v>
      </c>
      <c r="F40" s="57">
        <f>C57</f>
        <v>8400</v>
      </c>
    </row>
    <row r="41" spans="1:8" s="24" customFormat="1" x14ac:dyDescent="0.25">
      <c r="A41" s="58" t="s">
        <v>107</v>
      </c>
      <c r="B41" s="120" t="s">
        <v>108</v>
      </c>
      <c r="C41" s="121"/>
      <c r="D41" s="59" t="s">
        <v>116</v>
      </c>
      <c r="E41" s="60">
        <v>51.760989536644509</v>
      </c>
      <c r="F41" s="60">
        <f>F38/F40</f>
        <v>56.916384094494305</v>
      </c>
    </row>
    <row r="42" spans="1:8" x14ac:dyDescent="0.25">
      <c r="B42" s="3" t="s">
        <v>191</v>
      </c>
    </row>
    <row r="46" spans="1:8" x14ac:dyDescent="0.25">
      <c r="B46" s="74" t="s">
        <v>127</v>
      </c>
      <c r="C46" s="75">
        <v>1.0995999999999999</v>
      </c>
    </row>
    <row r="47" spans="1:8" x14ac:dyDescent="0.25">
      <c r="B47" s="76" t="s">
        <v>128</v>
      </c>
      <c r="C47" s="77">
        <f>E34</f>
        <v>434357.95415366022</v>
      </c>
    </row>
    <row r="48" spans="1:8" x14ac:dyDescent="0.25">
      <c r="B48" s="76" t="s">
        <v>129</v>
      </c>
      <c r="C48" s="77">
        <f>C47*C46</f>
        <v>477620.00638736476</v>
      </c>
    </row>
    <row r="49" spans="2:6" x14ac:dyDescent="0.25">
      <c r="B49" s="76" t="s">
        <v>130</v>
      </c>
      <c r="C49" s="77">
        <f>E35</f>
        <v>0</v>
      </c>
    </row>
    <row r="50" spans="2:6" x14ac:dyDescent="0.25">
      <c r="B50" s="76" t="s">
        <v>131</v>
      </c>
      <c r="C50" s="77">
        <f>C49</f>
        <v>0</v>
      </c>
    </row>
    <row r="51" spans="2:6" x14ac:dyDescent="0.25">
      <c r="B51" s="76" t="s">
        <v>132</v>
      </c>
      <c r="C51" s="77">
        <f>C48+C50</f>
        <v>477620.00638736476</v>
      </c>
    </row>
    <row r="52" spans="2:6" x14ac:dyDescent="0.25">
      <c r="B52" s="76" t="s">
        <v>133</v>
      </c>
      <c r="C52" s="75">
        <f>C37</f>
        <v>1E-3</v>
      </c>
    </row>
    <row r="53" spans="2:6" x14ac:dyDescent="0.25">
      <c r="B53" s="76" t="s">
        <v>134</v>
      </c>
      <c r="C53" s="75">
        <f>C52</f>
        <v>1E-3</v>
      </c>
    </row>
    <row r="54" spans="2:6" x14ac:dyDescent="0.25">
      <c r="B54" s="76" t="s">
        <v>135</v>
      </c>
      <c r="C54" s="77">
        <f>C51*C53</f>
        <v>477.62000638736475</v>
      </c>
    </row>
    <row r="55" spans="2:6" x14ac:dyDescent="0.25">
      <c r="B55" s="76" t="s">
        <v>136</v>
      </c>
      <c r="C55" s="77">
        <f>C51+C54</f>
        <v>478097.62639375211</v>
      </c>
    </row>
    <row r="56" spans="2:6" x14ac:dyDescent="0.25">
      <c r="B56" s="76" t="s">
        <v>163</v>
      </c>
      <c r="C56" s="77">
        <f>E40</f>
        <v>8400</v>
      </c>
    </row>
    <row r="57" spans="2:6" x14ac:dyDescent="0.25">
      <c r="B57" s="76" t="s">
        <v>164</v>
      </c>
      <c r="C57" s="77">
        <f>C56</f>
        <v>8400</v>
      </c>
    </row>
    <row r="58" spans="2:6" x14ac:dyDescent="0.25">
      <c r="B58" s="74" t="s">
        <v>161</v>
      </c>
      <c r="C58" s="78">
        <f>C55/(C57)</f>
        <v>56.916384094494298</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162</v>
      </c>
      <c r="C75" s="89"/>
      <c r="D75" s="89"/>
      <c r="E75" s="89"/>
      <c r="F75" s="89"/>
    </row>
    <row r="76" spans="1:6" x14ac:dyDescent="0.25">
      <c r="B76" s="89"/>
      <c r="C76" s="89"/>
      <c r="D76" s="89"/>
      <c r="E76" s="89"/>
      <c r="F76" s="89"/>
    </row>
    <row r="77" spans="1:6" x14ac:dyDescent="0.25">
      <c r="B77" s="80" t="s">
        <v>149</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3" top="0.75" bottom="0.75" header="0.3" footer="0.3"/>
  <pageSetup paperSize="9" scale="8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56C6-784C-41D0-9CEF-9DAB202ACF23}">
  <sheetPr>
    <tabColor rgb="FF00B050"/>
    <pageSetUpPr fitToPage="1"/>
  </sheetPr>
  <dimension ref="A1:H83"/>
  <sheetViews>
    <sheetView topLeftCell="A26" workbookViewId="0">
      <selection activeCell="E53" sqref="E53"/>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174</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f>E8+E9+E14+E15+E16+E17+E20+E21+E22+E23+E28</f>
        <v>6882078.3849583622</v>
      </c>
      <c r="F7" s="23">
        <f>SUM(F8,F9,F14,F15,F16,F17,F20,F21,F22,F23,F28)</f>
        <v>7567533.392100214</v>
      </c>
    </row>
    <row r="8" spans="1:6" ht="15.75" thickBot="1" x14ac:dyDescent="0.3">
      <c r="A8" s="25" t="s">
        <v>42</v>
      </c>
      <c r="B8" s="98" t="s">
        <v>43</v>
      </c>
      <c r="C8" s="99"/>
      <c r="D8" s="26" t="s">
        <v>41</v>
      </c>
      <c r="E8" s="27">
        <v>241669.71993168251</v>
      </c>
      <c r="F8" s="33">
        <f>E8*$C$46</f>
        <v>265740.02403687808</v>
      </c>
    </row>
    <row r="9" spans="1:6" x14ac:dyDescent="0.25">
      <c r="A9" s="28" t="s">
        <v>44</v>
      </c>
      <c r="B9" s="100" t="s">
        <v>45</v>
      </c>
      <c r="C9" s="101"/>
      <c r="D9" s="29" t="s">
        <v>41</v>
      </c>
      <c r="E9" s="30">
        <f>E10+E11+E12+E13</f>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7500</v>
      </c>
      <c r="F14" s="33">
        <f t="shared" si="0"/>
        <v>8247</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2805.1509000000001</v>
      </c>
      <c r="F16" s="33">
        <f t="shared" si="0"/>
        <v>3084.54392964</v>
      </c>
    </row>
    <row r="17" spans="1:6" x14ac:dyDescent="0.25">
      <c r="A17" s="28" t="s">
        <v>60</v>
      </c>
      <c r="B17" s="100" t="s">
        <v>61</v>
      </c>
      <c r="C17" s="101"/>
      <c r="D17" s="29" t="s">
        <v>41</v>
      </c>
      <c r="E17" s="30">
        <f>E18+E19</f>
        <v>13125</v>
      </c>
      <c r="F17" s="30">
        <f>SUM(F18:F19)</f>
        <v>14432.249999999998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13125</v>
      </c>
      <c r="F19" s="33">
        <f>E19*$C$46</f>
        <v>14432.249999999998</v>
      </c>
    </row>
    <row r="20" spans="1:6" ht="30.75" customHeight="1" x14ac:dyDescent="0.25">
      <c r="A20" s="38" t="s">
        <v>66</v>
      </c>
      <c r="B20" s="96" t="s">
        <v>67</v>
      </c>
      <c r="C20" s="97"/>
      <c r="D20" s="39" t="s">
        <v>41</v>
      </c>
      <c r="E20" s="40">
        <v>1357.6708948648827</v>
      </c>
      <c r="F20" s="33">
        <f>E20*$C$46</f>
        <v>1492.894915993425</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f>E24+E25+E26+E27</f>
        <v>6615620.8432318149</v>
      </c>
      <c r="F23" s="30">
        <f>SUM(F24:F27)</f>
        <v>7274536.6792177027</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132172.4240359246</v>
      </c>
      <c r="F25" s="33">
        <f>E25*$C$46</f>
        <v>145336.7974699027</v>
      </c>
    </row>
    <row r="26" spans="1:6" s="34" customFormat="1" ht="12.75" x14ac:dyDescent="0.25">
      <c r="A26" s="31" t="s">
        <v>78</v>
      </c>
      <c r="B26" s="92" t="s">
        <v>79</v>
      </c>
      <c r="C26" s="93"/>
      <c r="D26" s="32" t="s">
        <v>41</v>
      </c>
      <c r="E26" s="33">
        <v>44473.419195890339</v>
      </c>
      <c r="F26" s="33">
        <f>E26*$C$46</f>
        <v>48902.971747801013</v>
      </c>
    </row>
    <row r="27" spans="1:6" s="34" customFormat="1" ht="13.5" thickBot="1" x14ac:dyDescent="0.3">
      <c r="A27" s="35" t="s">
        <v>80</v>
      </c>
      <c r="B27" s="94" t="s">
        <v>81</v>
      </c>
      <c r="C27" s="95"/>
      <c r="D27" s="36" t="s">
        <v>41</v>
      </c>
      <c r="E27" s="37">
        <v>6438975</v>
      </c>
      <c r="F27" s="33">
        <f>E27*$C$46</f>
        <v>7080296.9099999992</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1012903.6318803342</v>
      </c>
      <c r="F29" s="23">
        <f>SUM(F30:F33)</f>
        <v>1113788.8336156153</v>
      </c>
    </row>
    <row r="30" spans="1:6" x14ac:dyDescent="0.25">
      <c r="A30" s="41" t="s">
        <v>86</v>
      </c>
      <c r="B30" s="113" t="s">
        <v>87</v>
      </c>
      <c r="C30" s="114"/>
      <c r="D30" s="42" t="s">
        <v>41</v>
      </c>
      <c r="E30" s="43">
        <v>977256.87723909714</v>
      </c>
      <c r="F30" s="33">
        <f>E30*$C$46</f>
        <v>1074591.6622121111</v>
      </c>
    </row>
    <row r="31" spans="1:6" x14ac:dyDescent="0.25">
      <c r="A31" s="41" t="s">
        <v>88</v>
      </c>
      <c r="B31" s="47" t="s">
        <v>89</v>
      </c>
      <c r="C31" s="48">
        <v>2.2499999999999999E-2</v>
      </c>
      <c r="D31" s="42" t="s">
        <v>41</v>
      </c>
      <c r="E31" s="43">
        <v>21988.279737879686</v>
      </c>
      <c r="F31" s="43">
        <f>F30*C31</f>
        <v>24178.312399772498</v>
      </c>
    </row>
    <row r="32" spans="1:6" x14ac:dyDescent="0.25">
      <c r="A32" s="41" t="s">
        <v>90</v>
      </c>
      <c r="B32" s="113" t="s">
        <v>91</v>
      </c>
      <c r="C32" s="114"/>
      <c r="D32" s="42" t="s">
        <v>41</v>
      </c>
      <c r="E32" s="43">
        <v>13658.47490335743</v>
      </c>
      <c r="F32" s="33">
        <f>E32*$C$46</f>
        <v>15018.859003731828</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f>E7+E29</f>
        <v>7894982.0168386968</v>
      </c>
      <c r="F34" s="23">
        <f>SUM(F7,F29)</f>
        <v>8681322.2257158291</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f>E34+E35</f>
        <v>7894982.0168386968</v>
      </c>
      <c r="F36" s="43">
        <f>F34+F35</f>
        <v>8681322.2257158291</v>
      </c>
    </row>
    <row r="37" spans="1:8" x14ac:dyDescent="0.25">
      <c r="A37" s="41" t="s">
        <v>100</v>
      </c>
      <c r="B37" s="47" t="s">
        <v>101</v>
      </c>
      <c r="C37" s="48">
        <v>1E-3</v>
      </c>
      <c r="D37" s="42" t="s">
        <v>41</v>
      </c>
      <c r="E37" s="43">
        <f>E36*C37</f>
        <v>7894.9820168386968</v>
      </c>
      <c r="F37" s="43">
        <f>C54</f>
        <v>8681.3222257158304</v>
      </c>
    </row>
    <row r="38" spans="1:8" x14ac:dyDescent="0.25">
      <c r="A38" s="49" t="s">
        <v>102</v>
      </c>
      <c r="B38" s="50" t="s">
        <v>103</v>
      </c>
      <c r="C38" s="61">
        <f>F38/F39</f>
        <v>0.33736865090281376</v>
      </c>
      <c r="D38" s="5" t="s">
        <v>41</v>
      </c>
      <c r="E38" s="51">
        <f>E36+E37</f>
        <v>7902876.9988555359</v>
      </c>
      <c r="F38" s="51">
        <f>F36+F37</f>
        <v>8690003.547941545</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111</v>
      </c>
      <c r="E40" s="57">
        <v>7500</v>
      </c>
      <c r="F40" s="57">
        <f>C57</f>
        <v>7500</v>
      </c>
    </row>
    <row r="41" spans="1:8" s="24" customFormat="1" x14ac:dyDescent="0.25">
      <c r="A41" s="58" t="s">
        <v>107</v>
      </c>
      <c r="B41" s="120" t="s">
        <v>108</v>
      </c>
      <c r="C41" s="121"/>
      <c r="D41" s="59" t="s">
        <v>112</v>
      </c>
      <c r="E41" s="60">
        <f>E38/E40</f>
        <v>1053.7169331807381</v>
      </c>
      <c r="F41" s="60">
        <f>F38/F40</f>
        <v>1158.6671397255393</v>
      </c>
    </row>
    <row r="42" spans="1:8" x14ac:dyDescent="0.25">
      <c r="B42" s="3" t="s">
        <v>191</v>
      </c>
    </row>
    <row r="46" spans="1:8" x14ac:dyDescent="0.25">
      <c r="B46" s="74" t="s">
        <v>127</v>
      </c>
      <c r="C46" s="75">
        <v>1.0995999999999999</v>
      </c>
    </row>
    <row r="47" spans="1:8" x14ac:dyDescent="0.25">
      <c r="B47" s="76" t="s">
        <v>128</v>
      </c>
      <c r="C47" s="77">
        <f>E34</f>
        <v>7894982.0168386968</v>
      </c>
    </row>
    <row r="48" spans="1:8" x14ac:dyDescent="0.25">
      <c r="B48" s="76" t="s">
        <v>129</v>
      </c>
      <c r="C48" s="77">
        <f>C47*C46</f>
        <v>8681322.2257158309</v>
      </c>
    </row>
    <row r="49" spans="2:6" x14ac:dyDescent="0.25">
      <c r="B49" s="76" t="s">
        <v>130</v>
      </c>
      <c r="C49" s="77">
        <f>E35</f>
        <v>0</v>
      </c>
    </row>
    <row r="50" spans="2:6" x14ac:dyDescent="0.25">
      <c r="B50" s="76" t="s">
        <v>131</v>
      </c>
      <c r="C50" s="77">
        <f>C49</f>
        <v>0</v>
      </c>
    </row>
    <row r="51" spans="2:6" x14ac:dyDescent="0.25">
      <c r="B51" s="76" t="s">
        <v>132</v>
      </c>
      <c r="C51" s="77">
        <f>C48+C50</f>
        <v>8681322.2257158309</v>
      </c>
    </row>
    <row r="52" spans="2:6" x14ac:dyDescent="0.25">
      <c r="B52" s="76" t="s">
        <v>133</v>
      </c>
      <c r="C52" s="75">
        <f>C37</f>
        <v>1E-3</v>
      </c>
    </row>
    <row r="53" spans="2:6" x14ac:dyDescent="0.25">
      <c r="B53" s="76" t="s">
        <v>134</v>
      </c>
      <c r="C53" s="75">
        <f>C52</f>
        <v>1E-3</v>
      </c>
    </row>
    <row r="54" spans="2:6" x14ac:dyDescent="0.25">
      <c r="B54" s="76" t="s">
        <v>135</v>
      </c>
      <c r="C54" s="77">
        <f>C51*C53</f>
        <v>8681.3222257158304</v>
      </c>
    </row>
    <row r="55" spans="2:6" x14ac:dyDescent="0.25">
      <c r="B55" s="76" t="s">
        <v>136</v>
      </c>
      <c r="C55" s="77">
        <f>C51+C54</f>
        <v>8690003.5479415469</v>
      </c>
    </row>
    <row r="56" spans="2:6" x14ac:dyDescent="0.25">
      <c r="B56" s="76" t="s">
        <v>163</v>
      </c>
      <c r="C56" s="77">
        <f>E40</f>
        <v>7500</v>
      </c>
    </row>
    <row r="57" spans="2:6" x14ac:dyDescent="0.25">
      <c r="B57" s="76" t="s">
        <v>164</v>
      </c>
      <c r="C57" s="77">
        <f>C56</f>
        <v>7500</v>
      </c>
    </row>
    <row r="58" spans="2:6" x14ac:dyDescent="0.25">
      <c r="B58" s="74" t="s">
        <v>161</v>
      </c>
      <c r="C58" s="78">
        <f>C55/(C57)</f>
        <v>1158.6671397255395</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162</v>
      </c>
      <c r="C75" s="89"/>
      <c r="D75" s="89"/>
      <c r="E75" s="89"/>
      <c r="F75" s="89"/>
    </row>
    <row r="76" spans="1:6" x14ac:dyDescent="0.25">
      <c r="B76" s="89"/>
      <c r="C76" s="89"/>
      <c r="D76" s="89"/>
      <c r="E76" s="89"/>
      <c r="F76" s="89"/>
    </row>
    <row r="77" spans="1:6" x14ac:dyDescent="0.25">
      <c r="B77" s="80" t="s">
        <v>149</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6" top="0.75" bottom="0.75" header="0.3" footer="0.3"/>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74A6-DB2A-4F7E-947A-61C7E1696796}">
  <sheetPr>
    <tabColor rgb="FF00B050"/>
    <pageSetUpPr fitToPage="1"/>
  </sheetPr>
  <dimension ref="A1:K83"/>
  <sheetViews>
    <sheetView topLeftCell="A29" workbookViewId="0">
      <selection activeCell="C51" sqref="C51"/>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0" width="9.140625" style="15"/>
    <col min="11" max="11" width="13.140625" style="52" bestFit="1" customWidth="1"/>
    <col min="12" max="16384" width="9.140625" style="15"/>
  </cols>
  <sheetData>
    <row r="1" spans="1:11" ht="15.75" hidden="1" thickBot="1" x14ac:dyDescent="0.3">
      <c r="A1" s="15" t="s">
        <v>35</v>
      </c>
    </row>
    <row r="2" spans="1:11" ht="15.75" hidden="1" thickBot="1" x14ac:dyDescent="0.3">
      <c r="A2" s="104" t="s">
        <v>36</v>
      </c>
      <c r="B2" s="104"/>
      <c r="C2" s="104"/>
      <c r="D2" s="104"/>
      <c r="E2" s="104"/>
      <c r="F2" s="104"/>
    </row>
    <row r="3" spans="1:11" ht="15.75" hidden="1" thickBot="1" x14ac:dyDescent="0.3"/>
    <row r="4" spans="1:11" ht="58.5" hidden="1" customHeight="1" thickBot="1" x14ac:dyDescent="0.3">
      <c r="A4" s="105" t="s">
        <v>37</v>
      </c>
      <c r="B4" s="105"/>
      <c r="C4" s="105"/>
      <c r="D4" s="105"/>
      <c r="E4" s="105"/>
      <c r="F4" s="105"/>
    </row>
    <row r="5" spans="1:11" ht="54.75" customHeight="1" thickBot="1" x14ac:dyDescent="0.3">
      <c r="A5" s="106" t="s">
        <v>175</v>
      </c>
      <c r="B5" s="107"/>
      <c r="C5" s="107"/>
      <c r="D5" s="107"/>
      <c r="E5" s="107"/>
      <c r="F5" s="108"/>
    </row>
    <row r="6" spans="1:11" ht="43.5" thickBot="1" x14ac:dyDescent="0.3">
      <c r="A6" s="17" t="s">
        <v>0</v>
      </c>
      <c r="B6" s="109" t="s">
        <v>38</v>
      </c>
      <c r="C6" s="110"/>
      <c r="D6" s="19" t="s">
        <v>39</v>
      </c>
      <c r="E6" s="18" t="s">
        <v>121</v>
      </c>
      <c r="F6" s="20" t="s">
        <v>122</v>
      </c>
    </row>
    <row r="7" spans="1:11" s="24" customFormat="1" ht="14.25" x14ac:dyDescent="0.25">
      <c r="A7" s="21">
        <v>1</v>
      </c>
      <c r="B7" s="111" t="s">
        <v>40</v>
      </c>
      <c r="C7" s="112"/>
      <c r="D7" s="22" t="s">
        <v>41</v>
      </c>
      <c r="E7" s="66">
        <f>E8+E9+E14+E15+E16+E17+E20+E21+E22+E23+E28</f>
        <v>5873845.398373358</v>
      </c>
      <c r="F7" s="23">
        <f>SUM(F8,F9,F14,F15,F16,F17,F20,F21,F22,F23,F28)</f>
        <v>6458880.4000513433</v>
      </c>
      <c r="K7" s="146"/>
    </row>
    <row r="8" spans="1:11" ht="15.75" thickBot="1" x14ac:dyDescent="0.3">
      <c r="A8" s="25" t="s">
        <v>42</v>
      </c>
      <c r="B8" s="98" t="s">
        <v>43</v>
      </c>
      <c r="C8" s="99"/>
      <c r="D8" s="26" t="s">
        <v>41</v>
      </c>
      <c r="E8" s="67">
        <v>811319.7740563628</v>
      </c>
      <c r="F8" s="33">
        <f>E8*$C$46</f>
        <v>892127.2235523765</v>
      </c>
      <c r="K8" s="146"/>
    </row>
    <row r="9" spans="1:11" x14ac:dyDescent="0.25">
      <c r="A9" s="28" t="s">
        <v>44</v>
      </c>
      <c r="B9" s="100" t="s">
        <v>45</v>
      </c>
      <c r="C9" s="101"/>
      <c r="D9" s="29" t="s">
        <v>41</v>
      </c>
      <c r="E9" s="68">
        <f>E10+E11+E12+E13</f>
        <v>0</v>
      </c>
      <c r="F9" s="30">
        <f>SUM(F10:F13)</f>
        <v>0</v>
      </c>
      <c r="K9" s="146"/>
    </row>
    <row r="10" spans="1:11" s="34" customFormat="1" ht="14.25" x14ac:dyDescent="0.25">
      <c r="A10" s="31" t="s">
        <v>46</v>
      </c>
      <c r="B10" s="92" t="s">
        <v>47</v>
      </c>
      <c r="C10" s="93"/>
      <c r="D10" s="32" t="s">
        <v>41</v>
      </c>
      <c r="E10" s="69">
        <v>0</v>
      </c>
      <c r="F10" s="33">
        <f t="shared" ref="F10:F16" si="0">E10*$C$46</f>
        <v>0</v>
      </c>
      <c r="K10" s="146"/>
    </row>
    <row r="11" spans="1:11" s="34" customFormat="1" ht="14.25" x14ac:dyDescent="0.25">
      <c r="A11" s="31" t="s">
        <v>48</v>
      </c>
      <c r="B11" s="92" t="s">
        <v>49</v>
      </c>
      <c r="C11" s="93"/>
      <c r="D11" s="32" t="s">
        <v>41</v>
      </c>
      <c r="E11" s="69">
        <v>0</v>
      </c>
      <c r="F11" s="33">
        <f t="shared" si="0"/>
        <v>0</v>
      </c>
      <c r="K11" s="146"/>
    </row>
    <row r="12" spans="1:11" s="34" customFormat="1" ht="14.25" x14ac:dyDescent="0.25">
      <c r="A12" s="31" t="s">
        <v>50</v>
      </c>
      <c r="B12" s="92" t="s">
        <v>51</v>
      </c>
      <c r="C12" s="93"/>
      <c r="D12" s="32" t="s">
        <v>41</v>
      </c>
      <c r="E12" s="69">
        <v>0</v>
      </c>
      <c r="F12" s="33">
        <f t="shared" si="0"/>
        <v>0</v>
      </c>
      <c r="K12" s="146"/>
    </row>
    <row r="13" spans="1:11" s="34" customFormat="1" thickBot="1" x14ac:dyDescent="0.3">
      <c r="A13" s="35" t="s">
        <v>52</v>
      </c>
      <c r="B13" s="94" t="s">
        <v>53</v>
      </c>
      <c r="C13" s="95"/>
      <c r="D13" s="36" t="s">
        <v>41</v>
      </c>
      <c r="E13" s="70">
        <v>0</v>
      </c>
      <c r="F13" s="33">
        <f t="shared" si="0"/>
        <v>0</v>
      </c>
      <c r="K13" s="146"/>
    </row>
    <row r="14" spans="1:11" ht="29.25" customHeight="1" x14ac:dyDescent="0.25">
      <c r="A14" s="38" t="s">
        <v>54</v>
      </c>
      <c r="B14" s="96" t="s">
        <v>55</v>
      </c>
      <c r="C14" s="97"/>
      <c r="D14" s="39" t="s">
        <v>41</v>
      </c>
      <c r="E14" s="71">
        <v>16500</v>
      </c>
      <c r="F14" s="33">
        <f t="shared" si="0"/>
        <v>18143.399999999998</v>
      </c>
      <c r="K14" s="146"/>
    </row>
    <row r="15" spans="1:11" x14ac:dyDescent="0.25">
      <c r="A15" s="41" t="s">
        <v>56</v>
      </c>
      <c r="B15" s="113" t="s">
        <v>57</v>
      </c>
      <c r="C15" s="114"/>
      <c r="D15" s="42" t="s">
        <v>41</v>
      </c>
      <c r="E15" s="72">
        <v>0</v>
      </c>
      <c r="F15" s="33">
        <f t="shared" si="0"/>
        <v>0</v>
      </c>
      <c r="K15" s="146"/>
    </row>
    <row r="16" spans="1:11" ht="15.75" thickBot="1" x14ac:dyDescent="0.3">
      <c r="A16" s="25" t="s">
        <v>58</v>
      </c>
      <c r="B16" s="98" t="s">
        <v>59</v>
      </c>
      <c r="C16" s="99"/>
      <c r="D16" s="26" t="s">
        <v>41</v>
      </c>
      <c r="E16" s="67">
        <v>8087.6263000000008</v>
      </c>
      <c r="F16" s="33">
        <f t="shared" si="0"/>
        <v>8893.1538794799999</v>
      </c>
      <c r="K16" s="146"/>
    </row>
    <row r="17" spans="1:11" x14ac:dyDescent="0.25">
      <c r="A17" s="28" t="s">
        <v>60</v>
      </c>
      <c r="B17" s="100" t="s">
        <v>61</v>
      </c>
      <c r="C17" s="101"/>
      <c r="D17" s="29" t="s">
        <v>41</v>
      </c>
      <c r="E17" s="68">
        <f>E18+E19</f>
        <v>28875</v>
      </c>
      <c r="F17" s="30">
        <f>SUM(F18:F19)</f>
        <v>31750.949999999997</v>
      </c>
      <c r="K17" s="146"/>
    </row>
    <row r="18" spans="1:11" s="34" customFormat="1" ht="14.25" x14ac:dyDescent="0.25">
      <c r="A18" s="31" t="s">
        <v>62</v>
      </c>
      <c r="B18" s="92" t="s">
        <v>63</v>
      </c>
      <c r="C18" s="93"/>
      <c r="D18" s="32" t="s">
        <v>41</v>
      </c>
      <c r="E18" s="69">
        <v>0</v>
      </c>
      <c r="F18" s="33">
        <f>E18*$C$46</f>
        <v>0</v>
      </c>
      <c r="K18" s="146"/>
    </row>
    <row r="19" spans="1:11" s="34" customFormat="1" thickBot="1" x14ac:dyDescent="0.3">
      <c r="A19" s="35" t="s">
        <v>64</v>
      </c>
      <c r="B19" s="94" t="s">
        <v>65</v>
      </c>
      <c r="C19" s="95"/>
      <c r="D19" s="36" t="s">
        <v>41</v>
      </c>
      <c r="E19" s="70">
        <v>28875</v>
      </c>
      <c r="F19" s="33">
        <f>E19*$C$46</f>
        <v>31750.949999999997</v>
      </c>
      <c r="K19" s="146"/>
    </row>
    <row r="20" spans="1:11" ht="30.75" customHeight="1" x14ac:dyDescent="0.25">
      <c r="A20" s="38" t="s">
        <v>66</v>
      </c>
      <c r="B20" s="96" t="s">
        <v>67</v>
      </c>
      <c r="C20" s="97"/>
      <c r="D20" s="39" t="s">
        <v>41</v>
      </c>
      <c r="E20" s="71">
        <v>4557.8951470463926</v>
      </c>
      <c r="F20" s="33">
        <f>E20*$C$46</f>
        <v>5011.8615036922129</v>
      </c>
      <c r="K20" s="146"/>
    </row>
    <row r="21" spans="1:11" x14ac:dyDescent="0.25">
      <c r="A21" s="41" t="s">
        <v>68</v>
      </c>
      <c r="B21" s="113" t="s">
        <v>69</v>
      </c>
      <c r="C21" s="114"/>
      <c r="D21" s="42" t="s">
        <v>41</v>
      </c>
      <c r="E21" s="72">
        <v>0</v>
      </c>
      <c r="F21" s="33">
        <f>E21*$C$46</f>
        <v>0</v>
      </c>
      <c r="K21" s="146"/>
    </row>
    <row r="22" spans="1:11" ht="15.75" thickBot="1" x14ac:dyDescent="0.3">
      <c r="A22" s="41" t="s">
        <v>70</v>
      </c>
      <c r="B22" s="113" t="s">
        <v>71</v>
      </c>
      <c r="C22" s="114"/>
      <c r="D22" s="42" t="s">
        <v>41</v>
      </c>
      <c r="E22" s="72">
        <v>0</v>
      </c>
      <c r="F22" s="33">
        <f>E22*$C$46</f>
        <v>0</v>
      </c>
      <c r="K22" s="146"/>
    </row>
    <row r="23" spans="1:11" x14ac:dyDescent="0.25">
      <c r="A23" s="28" t="s">
        <v>72</v>
      </c>
      <c r="B23" s="100" t="s">
        <v>73</v>
      </c>
      <c r="C23" s="101"/>
      <c r="D23" s="29" t="s">
        <v>41</v>
      </c>
      <c r="E23" s="68">
        <f>E24+E25+E26+E27</f>
        <v>5004505.1028699484</v>
      </c>
      <c r="F23" s="30">
        <f>SUM(F24:F27)</f>
        <v>5502953.8111157948</v>
      </c>
      <c r="K23" s="146"/>
    </row>
    <row r="24" spans="1:11" s="34" customFormat="1" ht="14.25" x14ac:dyDescent="0.25">
      <c r="A24" s="31" t="s">
        <v>74</v>
      </c>
      <c r="B24" s="92" t="s">
        <v>75</v>
      </c>
      <c r="C24" s="93"/>
      <c r="D24" s="32" t="s">
        <v>41</v>
      </c>
      <c r="E24" s="69">
        <v>0</v>
      </c>
      <c r="F24" s="33">
        <f>E24*$C$46</f>
        <v>0</v>
      </c>
      <c r="K24" s="146"/>
    </row>
    <row r="25" spans="1:11" s="34" customFormat="1" ht="14.25" x14ac:dyDescent="0.25">
      <c r="A25" s="31" t="s">
        <v>76</v>
      </c>
      <c r="B25" s="118" t="s">
        <v>77</v>
      </c>
      <c r="C25" s="119"/>
      <c r="D25" s="32" t="s">
        <v>41</v>
      </c>
      <c r="E25" s="69">
        <v>291292.08177759958</v>
      </c>
      <c r="F25" s="33">
        <f>E25*$C$46</f>
        <v>320304.77312264848</v>
      </c>
      <c r="K25" s="146"/>
    </row>
    <row r="26" spans="1:11" s="34" customFormat="1" ht="14.25" x14ac:dyDescent="0.25">
      <c r="A26" s="31" t="s">
        <v>78</v>
      </c>
      <c r="B26" s="92" t="s">
        <v>79</v>
      </c>
      <c r="C26" s="93"/>
      <c r="D26" s="32" t="s">
        <v>41</v>
      </c>
      <c r="E26" s="69">
        <v>95313.021092348819</v>
      </c>
      <c r="F26" s="33">
        <f>E26*$C$46</f>
        <v>104806.19799314675</v>
      </c>
      <c r="K26" s="146"/>
    </row>
    <row r="27" spans="1:11" s="34" customFormat="1" thickBot="1" x14ac:dyDescent="0.3">
      <c r="A27" s="35" t="s">
        <v>80</v>
      </c>
      <c r="B27" s="94" t="s">
        <v>81</v>
      </c>
      <c r="C27" s="95"/>
      <c r="D27" s="36" t="s">
        <v>41</v>
      </c>
      <c r="E27" s="70">
        <v>4617900</v>
      </c>
      <c r="F27" s="37">
        <f>E27*$C$46</f>
        <v>5077842.84</v>
      </c>
      <c r="K27" s="146"/>
    </row>
    <row r="28" spans="1:11" ht="31.5" customHeight="1" thickBot="1" x14ac:dyDescent="0.3">
      <c r="A28" s="44" t="s">
        <v>82</v>
      </c>
      <c r="B28" s="122" t="s">
        <v>83</v>
      </c>
      <c r="C28" s="123"/>
      <c r="D28" s="45" t="s">
        <v>41</v>
      </c>
      <c r="E28" s="73">
        <v>0</v>
      </c>
      <c r="F28" s="145">
        <f>E28*$C$46</f>
        <v>0</v>
      </c>
      <c r="K28" s="146"/>
    </row>
    <row r="29" spans="1:11" s="24" customFormat="1" ht="14.25" x14ac:dyDescent="0.25">
      <c r="A29" s="21" t="s">
        <v>84</v>
      </c>
      <c r="B29" s="111" t="s">
        <v>85</v>
      </c>
      <c r="C29" s="112"/>
      <c r="D29" s="22" t="s">
        <v>41</v>
      </c>
      <c r="E29" s="66">
        <v>1038791.0097780246</v>
      </c>
      <c r="F29" s="23">
        <f>SUM(F30:F33)</f>
        <v>1142254.5943519156</v>
      </c>
      <c r="K29" s="146"/>
    </row>
    <row r="30" spans="1:11" x14ac:dyDescent="0.25">
      <c r="A30" s="41" t="s">
        <v>86</v>
      </c>
      <c r="B30" s="113" t="s">
        <v>87</v>
      </c>
      <c r="C30" s="114"/>
      <c r="D30" s="42" t="s">
        <v>41</v>
      </c>
      <c r="E30" s="72">
        <v>977256.87723909714</v>
      </c>
      <c r="F30" s="33">
        <f>E30*$C$46</f>
        <v>1074591.6622121111</v>
      </c>
      <c r="K30" s="146"/>
    </row>
    <row r="31" spans="1:11" x14ac:dyDescent="0.25">
      <c r="A31" s="41" t="s">
        <v>88</v>
      </c>
      <c r="B31" s="47" t="s">
        <v>89</v>
      </c>
      <c r="C31" s="48">
        <v>2.2499999999999999E-2</v>
      </c>
      <c r="D31" s="42" t="s">
        <v>41</v>
      </c>
      <c r="E31" s="72">
        <v>21988.279737879686</v>
      </c>
      <c r="F31" s="43">
        <f>F30*C31</f>
        <v>24178.312399772498</v>
      </c>
      <c r="K31" s="146"/>
    </row>
    <row r="32" spans="1:11" x14ac:dyDescent="0.25">
      <c r="A32" s="41" t="s">
        <v>90</v>
      </c>
      <c r="B32" s="113" t="s">
        <v>91</v>
      </c>
      <c r="C32" s="114"/>
      <c r="D32" s="42" t="s">
        <v>41</v>
      </c>
      <c r="E32" s="72">
        <v>39545.852801047789</v>
      </c>
      <c r="F32" s="33">
        <f>E32*$C$46</f>
        <v>43484.619740032147</v>
      </c>
      <c r="K32" s="146"/>
    </row>
    <row r="33" spans="1:11" ht="15.75" thickBot="1" x14ac:dyDescent="0.3">
      <c r="A33" s="25" t="s">
        <v>92</v>
      </c>
      <c r="B33" s="98" t="s">
        <v>93</v>
      </c>
      <c r="C33" s="99"/>
      <c r="D33" s="26" t="s">
        <v>41</v>
      </c>
      <c r="E33" s="67">
        <v>0</v>
      </c>
      <c r="F33" s="27">
        <v>0</v>
      </c>
      <c r="K33" s="146"/>
    </row>
    <row r="34" spans="1:11" s="24" customFormat="1" ht="14.25" x14ac:dyDescent="0.25">
      <c r="A34" s="21" t="s">
        <v>94</v>
      </c>
      <c r="B34" s="102" t="s">
        <v>95</v>
      </c>
      <c r="C34" s="102"/>
      <c r="D34" s="22" t="s">
        <v>41</v>
      </c>
      <c r="E34" s="66">
        <f>E7+E29</f>
        <v>6912636.4081513826</v>
      </c>
      <c r="F34" s="23">
        <f>SUM(F7,F29)</f>
        <v>7601134.9944032589</v>
      </c>
      <c r="K34" s="146"/>
    </row>
    <row r="35" spans="1:11" x14ac:dyDescent="0.25">
      <c r="A35" s="41" t="s">
        <v>96</v>
      </c>
      <c r="B35" s="103" t="s">
        <v>97</v>
      </c>
      <c r="C35" s="103"/>
      <c r="D35" s="42" t="s">
        <v>41</v>
      </c>
      <c r="E35" s="72">
        <v>515088.64081513829</v>
      </c>
      <c r="F35" s="43">
        <v>566391.47</v>
      </c>
      <c r="K35" s="146"/>
    </row>
    <row r="36" spans="1:11" x14ac:dyDescent="0.25">
      <c r="A36" s="41" t="s">
        <v>98</v>
      </c>
      <c r="B36" s="103" t="s">
        <v>99</v>
      </c>
      <c r="C36" s="103"/>
      <c r="D36" s="42" t="s">
        <v>41</v>
      </c>
      <c r="E36" s="72">
        <f>E34+E35</f>
        <v>7427725.0489665205</v>
      </c>
      <c r="F36" s="43">
        <f>F34+F35</f>
        <v>8167526.4644032586</v>
      </c>
      <c r="K36" s="146"/>
    </row>
    <row r="37" spans="1:11" x14ac:dyDescent="0.25">
      <c r="A37" s="41" t="s">
        <v>100</v>
      </c>
      <c r="B37" s="47" t="s">
        <v>101</v>
      </c>
      <c r="C37" s="48">
        <v>0.15</v>
      </c>
      <c r="D37" s="42" t="s">
        <v>41</v>
      </c>
      <c r="E37" s="43">
        <f>E36*C37</f>
        <v>1114158.7573449779</v>
      </c>
      <c r="F37" s="43">
        <v>1225128.97</v>
      </c>
      <c r="K37" s="146"/>
    </row>
    <row r="38" spans="1:11" x14ac:dyDescent="0.25">
      <c r="A38" s="49" t="s">
        <v>102</v>
      </c>
      <c r="B38" s="50" t="s">
        <v>103</v>
      </c>
      <c r="C38" s="61">
        <f>F38/F39</f>
        <v>0.36464743366534302</v>
      </c>
      <c r="D38" s="5" t="s">
        <v>41</v>
      </c>
      <c r="E38" s="51">
        <f>E36+E37</f>
        <v>8541883.8063114993</v>
      </c>
      <c r="F38" s="51">
        <f>F36+F37</f>
        <v>9392655.4344032593</v>
      </c>
      <c r="H38" s="52"/>
      <c r="K38" s="146"/>
    </row>
    <row r="39" spans="1:11" s="24" customFormat="1" ht="58.5" hidden="1" customHeight="1" x14ac:dyDescent="0.25">
      <c r="A39" s="53" t="s">
        <v>102</v>
      </c>
      <c r="B39" s="115" t="s">
        <v>104</v>
      </c>
      <c r="C39" s="116"/>
      <c r="D39" s="54" t="s">
        <v>41</v>
      </c>
      <c r="E39" s="55">
        <v>25758183.295000002</v>
      </c>
      <c r="F39" s="55">
        <f>51516366.59/2</f>
        <v>25758183.295000002</v>
      </c>
      <c r="K39" s="146"/>
    </row>
    <row r="40" spans="1:11" x14ac:dyDescent="0.25">
      <c r="A40" s="56" t="s">
        <v>105</v>
      </c>
      <c r="B40" s="117" t="s">
        <v>106</v>
      </c>
      <c r="C40" s="117"/>
      <c r="D40" s="4" t="s">
        <v>111</v>
      </c>
      <c r="E40" s="57">
        <v>15000</v>
      </c>
      <c r="F40" s="57">
        <f>C57</f>
        <v>15000</v>
      </c>
      <c r="K40" s="146"/>
    </row>
    <row r="41" spans="1:11" s="24" customFormat="1" x14ac:dyDescent="0.25">
      <c r="A41" s="58" t="s">
        <v>107</v>
      </c>
      <c r="B41" s="120" t="s">
        <v>108</v>
      </c>
      <c r="C41" s="121"/>
      <c r="D41" s="59" t="s">
        <v>112</v>
      </c>
      <c r="E41" s="60">
        <f>E38/E40</f>
        <v>569.45892042076662</v>
      </c>
      <c r="F41" s="60">
        <f>F38/F40</f>
        <v>626.17702896021729</v>
      </c>
      <c r="K41" s="146"/>
    </row>
    <row r="42" spans="1:11" x14ac:dyDescent="0.25">
      <c r="B42" s="3" t="s">
        <v>191</v>
      </c>
    </row>
    <row r="46" spans="1:11" x14ac:dyDescent="0.25">
      <c r="B46" s="74" t="s">
        <v>127</v>
      </c>
      <c r="C46" s="75">
        <v>1.0995999999999999</v>
      </c>
    </row>
    <row r="47" spans="1:11" x14ac:dyDescent="0.25">
      <c r="B47" s="76" t="s">
        <v>128</v>
      </c>
      <c r="C47" s="77">
        <f>E34</f>
        <v>6912636.4081513826</v>
      </c>
    </row>
    <row r="48" spans="1:11" x14ac:dyDescent="0.25">
      <c r="B48" s="76" t="s">
        <v>129</v>
      </c>
      <c r="C48" s="77">
        <f>C47*C46</f>
        <v>7601134.9944032598</v>
      </c>
    </row>
    <row r="49" spans="2:6" x14ac:dyDescent="0.25">
      <c r="B49" s="76" t="s">
        <v>130</v>
      </c>
      <c r="C49" s="77">
        <f>E35</f>
        <v>515088.64081513829</v>
      </c>
    </row>
    <row r="50" spans="2:6" x14ac:dyDescent="0.25">
      <c r="B50" s="76" t="s">
        <v>131</v>
      </c>
      <c r="C50" s="77">
        <f>F35</f>
        <v>566391.47</v>
      </c>
    </row>
    <row r="51" spans="2:6" x14ac:dyDescent="0.25">
      <c r="B51" s="76" t="s">
        <v>132</v>
      </c>
      <c r="C51" s="77">
        <f>C48+C50</f>
        <v>8167526.4644032596</v>
      </c>
    </row>
    <row r="52" spans="2:6" x14ac:dyDescent="0.25">
      <c r="B52" s="76" t="s">
        <v>133</v>
      </c>
      <c r="C52" s="75">
        <f>C37</f>
        <v>0.15</v>
      </c>
    </row>
    <row r="53" spans="2:6" x14ac:dyDescent="0.25">
      <c r="B53" s="76" t="s">
        <v>134</v>
      </c>
      <c r="C53" s="75">
        <f>C52</f>
        <v>0.15</v>
      </c>
    </row>
    <row r="54" spans="2:6" x14ac:dyDescent="0.25">
      <c r="B54" s="76" t="s">
        <v>135</v>
      </c>
      <c r="C54" s="77">
        <f>C51*C53</f>
        <v>1225128.9696604889</v>
      </c>
    </row>
    <row r="55" spans="2:6" x14ac:dyDescent="0.25">
      <c r="B55" s="76" t="s">
        <v>136</v>
      </c>
      <c r="C55" s="77">
        <f>C51+C54</f>
        <v>9392655.4340637475</v>
      </c>
    </row>
    <row r="56" spans="2:6" x14ac:dyDescent="0.25">
      <c r="B56" s="76" t="s">
        <v>159</v>
      </c>
      <c r="C56" s="77">
        <f>E40</f>
        <v>15000</v>
      </c>
    </row>
    <row r="57" spans="2:6" x14ac:dyDescent="0.25">
      <c r="B57" s="76" t="s">
        <v>160</v>
      </c>
      <c r="C57" s="77">
        <f>C56</f>
        <v>15000</v>
      </c>
    </row>
    <row r="58" spans="2:6" x14ac:dyDescent="0.25">
      <c r="B58" s="74" t="s">
        <v>161</v>
      </c>
      <c r="C58" s="78">
        <f>C55/(C57)</f>
        <v>626.17702893758315</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162</v>
      </c>
      <c r="C75" s="89"/>
      <c r="D75" s="89"/>
      <c r="E75" s="89"/>
      <c r="F75" s="89"/>
    </row>
    <row r="76" spans="1:6" x14ac:dyDescent="0.25">
      <c r="B76" s="89"/>
      <c r="C76" s="89"/>
      <c r="D76" s="89"/>
      <c r="E76" s="89"/>
      <c r="F76" s="89"/>
    </row>
    <row r="77" spans="1:6" x14ac:dyDescent="0.25">
      <c r="B77" s="80" t="s">
        <v>149</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5" top="0.75" bottom="0.75" header="0.3" footer="0.3"/>
  <pageSetup paperSize="9" scale="8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5394-7A50-4497-ACD3-1AAB8BB9BDAC}">
  <sheetPr>
    <pageSetUpPr fitToPage="1"/>
  </sheetPr>
  <dimension ref="A1:H83"/>
  <sheetViews>
    <sheetView topLeftCell="A26" workbookViewId="0">
      <selection activeCell="F52" sqref="F52"/>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176</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228224.21972120734</v>
      </c>
      <c r="F7" s="23">
        <f>SUM(F8,F9,F14,F15,F16,F17,F20,F21,F22,F23,F28)</f>
        <v>250955.35200543955</v>
      </c>
    </row>
    <row r="8" spans="1:6" ht="15.75" thickBot="1" x14ac:dyDescent="0.3">
      <c r="A8" s="25" t="s">
        <v>42</v>
      </c>
      <c r="B8" s="98" t="s">
        <v>43</v>
      </c>
      <c r="C8" s="99"/>
      <c r="D8" s="26" t="s">
        <v>41</v>
      </c>
      <c r="E8" s="27">
        <v>166867.18757187607</v>
      </c>
      <c r="F8" s="33">
        <f>E8*$C$46</f>
        <v>183487.1594540349</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10500</v>
      </c>
      <c r="F14" s="33">
        <f t="shared" si="0"/>
        <v>11545.8</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1743.4404</v>
      </c>
      <c r="F16" s="33">
        <f t="shared" si="0"/>
        <v>1917.0870638399997</v>
      </c>
    </row>
    <row r="17" spans="1:6" x14ac:dyDescent="0.25">
      <c r="A17" s="28" t="s">
        <v>60</v>
      </c>
      <c r="B17" s="100" t="s">
        <v>61</v>
      </c>
      <c r="C17" s="101"/>
      <c r="D17" s="29" t="s">
        <v>41</v>
      </c>
      <c r="E17" s="30">
        <v>18375</v>
      </c>
      <c r="F17" s="30">
        <f>SUM(F18:F19)</f>
        <v>20205.149999999998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18375</v>
      </c>
      <c r="F19" s="33">
        <f>E19*$C$46</f>
        <v>20205.149999999998</v>
      </c>
    </row>
    <row r="20" spans="1:6" ht="30.75" customHeight="1" x14ac:dyDescent="0.25">
      <c r="A20" s="38" t="s">
        <v>66</v>
      </c>
      <c r="B20" s="96" t="s">
        <v>67</v>
      </c>
      <c r="C20" s="97"/>
      <c r="D20" s="39" t="s">
        <v>41</v>
      </c>
      <c r="E20" s="40">
        <v>8400.0979227575081</v>
      </c>
      <c r="F20" s="33">
        <f>E20*$C$46</f>
        <v>9236.7476758641551</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22338.493826573776</v>
      </c>
      <c r="F23" s="30">
        <f>SUM(F24:F27)</f>
        <v>24563.407811700523</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12196.717634304085</v>
      </c>
      <c r="F25" s="33">
        <f>E25*$C$46</f>
        <v>13411.51071068077</v>
      </c>
    </row>
    <row r="26" spans="1:6" s="34" customFormat="1" ht="12.75" x14ac:dyDescent="0.25">
      <c r="A26" s="31" t="s">
        <v>78</v>
      </c>
      <c r="B26" s="92" t="s">
        <v>79</v>
      </c>
      <c r="C26" s="93"/>
      <c r="D26" s="32" t="s">
        <v>41</v>
      </c>
      <c r="E26" s="33">
        <v>9741.915192269691</v>
      </c>
      <c r="F26" s="33">
        <f>E26*$C$46</f>
        <v>10712.209945419751</v>
      </c>
    </row>
    <row r="27" spans="1:6" s="34" customFormat="1" ht="13.5" thickBot="1" x14ac:dyDescent="0.3">
      <c r="A27" s="35" t="s">
        <v>80</v>
      </c>
      <c r="B27" s="94" t="s">
        <v>81</v>
      </c>
      <c r="C27" s="95"/>
      <c r="D27" s="36" t="s">
        <v>41</v>
      </c>
      <c r="E27" s="37">
        <v>399.86099999999993</v>
      </c>
      <c r="F27" s="33">
        <f>E27*$C$46</f>
        <v>439.68715559999987</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543878.63707784284</v>
      </c>
      <c r="F29" s="23">
        <f>SUM(F30:F33)</f>
        <v>598048.94933079602</v>
      </c>
    </row>
    <row r="30" spans="1:6" x14ac:dyDescent="0.25">
      <c r="A30" s="41" t="s">
        <v>86</v>
      </c>
      <c r="B30" s="113" t="s">
        <v>87</v>
      </c>
      <c r="C30" s="114"/>
      <c r="D30" s="42" t="s">
        <v>41</v>
      </c>
      <c r="E30" s="43">
        <v>523762.89657064574</v>
      </c>
      <c r="F30" s="33">
        <f>E30*$C$46</f>
        <v>575929.681069082</v>
      </c>
    </row>
    <row r="31" spans="1:6" x14ac:dyDescent="0.25">
      <c r="A31" s="41" t="s">
        <v>88</v>
      </c>
      <c r="B31" s="47" t="s">
        <v>89</v>
      </c>
      <c r="C31" s="48">
        <v>2.2499999999999999E-2</v>
      </c>
      <c r="D31" s="42" t="s">
        <v>41</v>
      </c>
      <c r="E31" s="43">
        <v>11784.665172839528</v>
      </c>
      <c r="F31" s="43">
        <f>F30*C31</f>
        <v>12958.417824054344</v>
      </c>
    </row>
    <row r="32" spans="1:6" x14ac:dyDescent="0.25">
      <c r="A32" s="41" t="s">
        <v>90</v>
      </c>
      <c r="B32" s="113" t="s">
        <v>91</v>
      </c>
      <c r="C32" s="114"/>
      <c r="D32" s="42" t="s">
        <v>41</v>
      </c>
      <c r="E32" s="43">
        <v>8331.0753343576052</v>
      </c>
      <c r="F32" s="33">
        <f>E32*$C$46</f>
        <v>9160.8504376596211</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772102.85679905023</v>
      </c>
      <c r="F34" s="23">
        <f>SUM(F7,F29)</f>
        <v>849004.3013362356</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772102.85679905023</v>
      </c>
      <c r="F36" s="43">
        <f>F34+F35</f>
        <v>849004.3013362356</v>
      </c>
    </row>
    <row r="37" spans="1:8" x14ac:dyDescent="0.25">
      <c r="A37" s="41" t="s">
        <v>100</v>
      </c>
      <c r="B37" s="47" t="s">
        <v>101</v>
      </c>
      <c r="C37" s="48">
        <f>'t9'!C37</f>
        <v>1E-3</v>
      </c>
      <c r="D37" s="42" t="s">
        <v>41</v>
      </c>
      <c r="E37" s="43">
        <v>772.1028567990503</v>
      </c>
      <c r="F37" s="43">
        <f>C54</f>
        <v>849.00430133623559</v>
      </c>
    </row>
    <row r="38" spans="1:8" x14ac:dyDescent="0.25">
      <c r="A38" s="49" t="s">
        <v>102</v>
      </c>
      <c r="B38" s="50" t="s">
        <v>103</v>
      </c>
      <c r="C38" s="61">
        <f>F38/F39</f>
        <v>3.2993526597139305E-2</v>
      </c>
      <c r="D38" s="5" t="s">
        <v>41</v>
      </c>
      <c r="E38" s="51">
        <v>772874.95965584926</v>
      </c>
      <c r="F38" s="51">
        <f>F36+F37</f>
        <v>849853.30563757184</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113</v>
      </c>
      <c r="E40" s="57">
        <v>120000</v>
      </c>
      <c r="F40" s="57">
        <f>C57</f>
        <v>120000</v>
      </c>
    </row>
    <row r="41" spans="1:8" s="24" customFormat="1" x14ac:dyDescent="0.25">
      <c r="A41" s="58" t="s">
        <v>107</v>
      </c>
      <c r="B41" s="120" t="s">
        <v>108</v>
      </c>
      <c r="C41" s="121"/>
      <c r="D41" s="59" t="s">
        <v>114</v>
      </c>
      <c r="E41" s="60">
        <v>6.4406246637987437</v>
      </c>
      <c r="F41" s="60">
        <f>F38/F40</f>
        <v>7.082110880313099</v>
      </c>
    </row>
    <row r="42" spans="1:8" x14ac:dyDescent="0.25">
      <c r="B42" s="3" t="s">
        <v>191</v>
      </c>
    </row>
    <row r="46" spans="1:8" x14ac:dyDescent="0.25">
      <c r="B46" s="74" t="s">
        <v>127</v>
      </c>
      <c r="C46" s="75">
        <v>1.0995999999999999</v>
      </c>
    </row>
    <row r="47" spans="1:8" x14ac:dyDescent="0.25">
      <c r="B47" s="76" t="s">
        <v>128</v>
      </c>
      <c r="C47" s="77">
        <f>E34</f>
        <v>772102.85679905023</v>
      </c>
    </row>
    <row r="48" spans="1:8" x14ac:dyDescent="0.25">
      <c r="B48" s="76" t="s">
        <v>129</v>
      </c>
      <c r="C48" s="77">
        <f>C47*C46</f>
        <v>849004.3013362356</v>
      </c>
    </row>
    <row r="49" spans="2:6" x14ac:dyDescent="0.25">
      <c r="B49" s="76" t="s">
        <v>130</v>
      </c>
      <c r="C49" s="77">
        <f>E35</f>
        <v>0</v>
      </c>
    </row>
    <row r="50" spans="2:6" x14ac:dyDescent="0.25">
      <c r="B50" s="76" t="s">
        <v>131</v>
      </c>
      <c r="C50" s="77">
        <f>C49</f>
        <v>0</v>
      </c>
    </row>
    <row r="51" spans="2:6" x14ac:dyDescent="0.25">
      <c r="B51" s="76" t="s">
        <v>132</v>
      </c>
      <c r="C51" s="77">
        <f>C48+C50</f>
        <v>849004.3013362356</v>
      </c>
    </row>
    <row r="52" spans="2:6" x14ac:dyDescent="0.25">
      <c r="B52" s="76" t="s">
        <v>133</v>
      </c>
      <c r="C52" s="75">
        <f>C37</f>
        <v>1E-3</v>
      </c>
    </row>
    <row r="53" spans="2:6" x14ac:dyDescent="0.25">
      <c r="B53" s="76" t="s">
        <v>134</v>
      </c>
      <c r="C53" s="75">
        <f>C52</f>
        <v>1E-3</v>
      </c>
    </row>
    <row r="54" spans="2:6" x14ac:dyDescent="0.25">
      <c r="B54" s="76" t="s">
        <v>135</v>
      </c>
      <c r="C54" s="77">
        <f>C51*C53</f>
        <v>849.00430133623559</v>
      </c>
    </row>
    <row r="55" spans="2:6" x14ac:dyDescent="0.25">
      <c r="B55" s="76" t="s">
        <v>136</v>
      </c>
      <c r="C55" s="77">
        <f>C51+C54</f>
        <v>849853.30563757184</v>
      </c>
    </row>
    <row r="56" spans="2:6" x14ac:dyDescent="0.25">
      <c r="B56" s="76" t="s">
        <v>137</v>
      </c>
      <c r="C56" s="77">
        <f>E40</f>
        <v>120000</v>
      </c>
    </row>
    <row r="57" spans="2:6" x14ac:dyDescent="0.25">
      <c r="B57" s="76" t="s">
        <v>138</v>
      </c>
      <c r="C57" s="77">
        <f>C56</f>
        <v>120000</v>
      </c>
    </row>
    <row r="58" spans="2:6" x14ac:dyDescent="0.25">
      <c r="B58" s="74" t="s">
        <v>139</v>
      </c>
      <c r="C58" s="78">
        <f>C55/(C57)</f>
        <v>7.082110880313099</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4" top="0.75" bottom="0.75" header="0.3" footer="0.3"/>
  <pageSetup paperSize="9" scale="8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3565-B10F-4498-8A3C-C5E36931BE58}">
  <sheetPr>
    <pageSetUpPr fitToPage="1"/>
  </sheetPr>
  <dimension ref="A1:H83"/>
  <sheetViews>
    <sheetView topLeftCell="A29" workbookViewId="0">
      <selection activeCell="E50" sqref="E50"/>
    </sheetView>
  </sheetViews>
  <sheetFormatPr defaultRowHeight="15" x14ac:dyDescent="0.25"/>
  <cols>
    <col min="1" max="1" width="6.5703125" style="15" customWidth="1"/>
    <col min="2" max="2" width="50.7109375" style="15" customWidth="1"/>
    <col min="3" max="3" width="12.5703125"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178</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181811.39510759924</v>
      </c>
      <c r="F7" s="23">
        <f>SUM(F8,F9,F14,F15,F16,F17,F20,F21,F22,F23,F28)</f>
        <v>199919.81006031609</v>
      </c>
    </row>
    <row r="8" spans="1:6" ht="15.75" thickBot="1" x14ac:dyDescent="0.3">
      <c r="A8" s="25" t="s">
        <v>42</v>
      </c>
      <c r="B8" s="98" t="s">
        <v>43</v>
      </c>
      <c r="C8" s="99"/>
      <c r="D8" s="26" t="s">
        <v>41</v>
      </c>
      <c r="E8" s="27">
        <v>72817.231167438149</v>
      </c>
      <c r="F8" s="33">
        <f>E8*$C$46</f>
        <v>80069.827391714978</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6600</v>
      </c>
      <c r="F14" s="33">
        <f t="shared" si="0"/>
        <v>7257.36</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334.34567500000009</v>
      </c>
      <c r="F16" s="33">
        <f t="shared" si="0"/>
        <v>367.64650423000006</v>
      </c>
    </row>
    <row r="17" spans="1:6" x14ac:dyDescent="0.25">
      <c r="A17" s="28" t="s">
        <v>60</v>
      </c>
      <c r="B17" s="100" t="s">
        <v>61</v>
      </c>
      <c r="C17" s="101"/>
      <c r="D17" s="29" t="s">
        <v>41</v>
      </c>
      <c r="E17" s="30">
        <v>8250</v>
      </c>
      <c r="F17" s="30">
        <f>SUM(F18:F19)</f>
        <v>9071.6999999999989</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8250</v>
      </c>
      <c r="F19" s="33">
        <f>E19*$C$46</f>
        <v>9071.6999999999989</v>
      </c>
    </row>
    <row r="20" spans="1:6" ht="30.75" customHeight="1" x14ac:dyDescent="0.25">
      <c r="A20" s="38" t="s">
        <v>66</v>
      </c>
      <c r="B20" s="96" t="s">
        <v>67</v>
      </c>
      <c r="C20" s="97"/>
      <c r="D20" s="39" t="s">
        <v>41</v>
      </c>
      <c r="E20" s="40">
        <v>5157.8686618781585</v>
      </c>
      <c r="F20" s="33">
        <f>E20*$C$46</f>
        <v>5671.5923806012224</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88651.949603282919</v>
      </c>
      <c r="F23" s="30">
        <f>SUM(F24:F27)</f>
        <v>97481.683783769884</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65182.875884701447</v>
      </c>
      <c r="F25" s="33">
        <f>E25*$C$46</f>
        <v>71675.090322817705</v>
      </c>
    </row>
    <row r="26" spans="1:6" s="34" customFormat="1" ht="12.75" x14ac:dyDescent="0.25">
      <c r="A26" s="31" t="s">
        <v>78</v>
      </c>
      <c r="B26" s="92" t="s">
        <v>79</v>
      </c>
      <c r="C26" s="93"/>
      <c r="D26" s="32" t="s">
        <v>41</v>
      </c>
      <c r="E26" s="33">
        <v>22461.073718581472</v>
      </c>
      <c r="F26" s="33">
        <f>E26*$C$46</f>
        <v>24698.196660952184</v>
      </c>
    </row>
    <row r="27" spans="1:6" s="34" customFormat="1" ht="13.5" thickBot="1" x14ac:dyDescent="0.3">
      <c r="A27" s="35" t="s">
        <v>80</v>
      </c>
      <c r="B27" s="94" t="s">
        <v>81</v>
      </c>
      <c r="C27" s="95"/>
      <c r="D27" s="36" t="s">
        <v>41</v>
      </c>
      <c r="E27" s="37">
        <v>1007.9999999999999</v>
      </c>
      <c r="F27" s="33">
        <f>E27*$C$46</f>
        <v>1108.3967999999998</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73380.913935000019</v>
      </c>
      <c r="F29" s="23">
        <f>SUM(F30:F33)</f>
        <v>80689.652962926004</v>
      </c>
    </row>
    <row r="30" spans="1:6" x14ac:dyDescent="0.25">
      <c r="A30" s="41" t="s">
        <v>86</v>
      </c>
      <c r="B30" s="113" t="s">
        <v>87</v>
      </c>
      <c r="C30" s="114"/>
      <c r="D30" s="42" t="s">
        <v>41</v>
      </c>
      <c r="E30" s="43">
        <v>70372.08600000001</v>
      </c>
      <c r="F30" s="33">
        <f>E30*$C$46</f>
        <v>77381.145765599998</v>
      </c>
    </row>
    <row r="31" spans="1:6" x14ac:dyDescent="0.25">
      <c r="A31" s="41" t="s">
        <v>88</v>
      </c>
      <c r="B31" s="47" t="s">
        <v>89</v>
      </c>
      <c r="C31" s="48">
        <v>2.2499999999999999E-2</v>
      </c>
      <c r="D31" s="42" t="s">
        <v>41</v>
      </c>
      <c r="E31" s="43">
        <v>1583.3719350000001</v>
      </c>
      <c r="F31" s="43">
        <f>F30*C31</f>
        <v>1741.0757797259998</v>
      </c>
    </row>
    <row r="32" spans="1:6" x14ac:dyDescent="0.25">
      <c r="A32" s="41" t="s">
        <v>90</v>
      </c>
      <c r="B32" s="113" t="s">
        <v>91</v>
      </c>
      <c r="C32" s="114"/>
      <c r="D32" s="42" t="s">
        <v>41</v>
      </c>
      <c r="E32" s="43">
        <v>1425.4560000000004</v>
      </c>
      <c r="F32" s="33">
        <f>E32*$C$46</f>
        <v>1567.4314176000003</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255192.30904259926</v>
      </c>
      <c r="F34" s="23">
        <f>SUM(F7,F29)</f>
        <v>280609.46302324207</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255192.30904259926</v>
      </c>
      <c r="F36" s="43">
        <f>F34+F35</f>
        <v>280609.46302324207</v>
      </c>
    </row>
    <row r="37" spans="1:8" x14ac:dyDescent="0.25">
      <c r="A37" s="41" t="s">
        <v>100</v>
      </c>
      <c r="B37" s="47" t="s">
        <v>101</v>
      </c>
      <c r="C37" s="48">
        <f>'t10.1'!C37</f>
        <v>1E-3</v>
      </c>
      <c r="D37" s="42" t="s">
        <v>41</v>
      </c>
      <c r="E37" s="43">
        <v>255.19230904259925</v>
      </c>
      <c r="F37" s="43">
        <f>C54</f>
        <v>280.60946302324214</v>
      </c>
    </row>
    <row r="38" spans="1:8" x14ac:dyDescent="0.25">
      <c r="A38" s="49" t="s">
        <v>102</v>
      </c>
      <c r="B38" s="50" t="s">
        <v>103</v>
      </c>
      <c r="C38" s="61">
        <f>F38/F39</f>
        <v>1.090488677983706E-2</v>
      </c>
      <c r="D38" s="5" t="s">
        <v>41</v>
      </c>
      <c r="E38" s="51">
        <v>255447.50135164187</v>
      </c>
      <c r="F38" s="51">
        <f>F36+F37</f>
        <v>280890.07248626533</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4.7870388947040135E-3</v>
      </c>
      <c r="F41" s="62">
        <f>F38/F40</f>
        <v>5.263827968616532E-3</v>
      </c>
    </row>
    <row r="42" spans="1:8" x14ac:dyDescent="0.25">
      <c r="B42" s="3" t="s">
        <v>191</v>
      </c>
    </row>
    <row r="46" spans="1:8" x14ac:dyDescent="0.25">
      <c r="B46" s="74" t="s">
        <v>127</v>
      </c>
      <c r="C46" s="75">
        <v>1.0995999999999999</v>
      </c>
    </row>
    <row r="47" spans="1:8" x14ac:dyDescent="0.25">
      <c r="B47" s="76" t="s">
        <v>128</v>
      </c>
      <c r="C47" s="77">
        <f>E34</f>
        <v>255192.30904259926</v>
      </c>
    </row>
    <row r="48" spans="1:8" x14ac:dyDescent="0.25">
      <c r="B48" s="76" t="s">
        <v>129</v>
      </c>
      <c r="C48" s="77">
        <f>C47*C46</f>
        <v>280609.46302324213</v>
      </c>
    </row>
    <row r="49" spans="2:6" x14ac:dyDescent="0.25">
      <c r="B49" s="76" t="s">
        <v>130</v>
      </c>
      <c r="C49" s="77">
        <f>E35</f>
        <v>0</v>
      </c>
    </row>
    <row r="50" spans="2:6" x14ac:dyDescent="0.25">
      <c r="B50" s="76" t="s">
        <v>131</v>
      </c>
      <c r="C50" s="77">
        <f>C49</f>
        <v>0</v>
      </c>
    </row>
    <row r="51" spans="2:6" x14ac:dyDescent="0.25">
      <c r="B51" s="76" t="s">
        <v>132</v>
      </c>
      <c r="C51" s="77">
        <f>C48+C50</f>
        <v>280609.46302324213</v>
      </c>
    </row>
    <row r="52" spans="2:6" x14ac:dyDescent="0.25">
      <c r="B52" s="76" t="s">
        <v>133</v>
      </c>
      <c r="C52" s="75">
        <f>C37</f>
        <v>1E-3</v>
      </c>
    </row>
    <row r="53" spans="2:6" x14ac:dyDescent="0.25">
      <c r="B53" s="76" t="s">
        <v>134</v>
      </c>
      <c r="C53" s="75">
        <f>C52</f>
        <v>1E-3</v>
      </c>
    </row>
    <row r="54" spans="2:6" x14ac:dyDescent="0.25">
      <c r="B54" s="76" t="s">
        <v>135</v>
      </c>
      <c r="C54" s="77">
        <f>C51*C53</f>
        <v>280.60946302324214</v>
      </c>
    </row>
    <row r="55" spans="2:6" x14ac:dyDescent="0.25">
      <c r="B55" s="76" t="s">
        <v>136</v>
      </c>
      <c r="C55" s="77">
        <f>C51+C54</f>
        <v>280890.07248626539</v>
      </c>
    </row>
    <row r="56" spans="2:6" x14ac:dyDescent="0.25">
      <c r="B56" s="76" t="s">
        <v>137</v>
      </c>
      <c r="C56" s="77">
        <f>E40</f>
        <v>53362320</v>
      </c>
    </row>
    <row r="57" spans="2:6" x14ac:dyDescent="0.25">
      <c r="B57" s="76" t="s">
        <v>138</v>
      </c>
      <c r="C57" s="77">
        <f>C56</f>
        <v>53362320</v>
      </c>
    </row>
    <row r="58" spans="2:6" x14ac:dyDescent="0.25">
      <c r="B58" s="74" t="s">
        <v>139</v>
      </c>
      <c r="C58" s="82">
        <f>C55/(C57)</f>
        <v>5.2638279686165329E-3</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7" top="0.75" bottom="0.75" header="0.3" footer="0.3"/>
  <pageSetup paperSize="9" scale="8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2664-C70F-488A-8734-34A6C8D89D01}">
  <sheetPr>
    <pageSetUpPr fitToPage="1"/>
  </sheetPr>
  <dimension ref="A1:H83"/>
  <sheetViews>
    <sheetView topLeftCell="A58" workbookViewId="0">
      <selection activeCell="I48" sqref="I48"/>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179</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35978.696976451065</v>
      </c>
      <c r="F7" s="23">
        <f>SUM(F8,F9,F14,F15,F16,F17,F20,F21,F22,F23,F28)</f>
        <v>39562.175195305586</v>
      </c>
    </row>
    <row r="8" spans="1:6" ht="15.75" thickBot="1" x14ac:dyDescent="0.3">
      <c r="A8" s="25" t="s">
        <v>42</v>
      </c>
      <c r="B8" s="98" t="s">
        <v>43</v>
      </c>
      <c r="C8" s="99"/>
      <c r="D8" s="26" t="s">
        <v>41</v>
      </c>
      <c r="E8" s="27">
        <v>3866.4016549082198</v>
      </c>
      <c r="F8" s="33">
        <f>E8*$C$46</f>
        <v>4251.4952597370784</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1200</v>
      </c>
      <c r="F14" s="33">
        <f t="shared" si="0"/>
        <v>1319.52</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25.145775000000004</v>
      </c>
      <c r="F16" s="33">
        <f t="shared" si="0"/>
        <v>27.650294190000004</v>
      </c>
    </row>
    <row r="17" spans="1:6" x14ac:dyDescent="0.25">
      <c r="A17" s="28" t="s">
        <v>60</v>
      </c>
      <c r="B17" s="100" t="s">
        <v>61</v>
      </c>
      <c r="C17" s="101"/>
      <c r="D17" s="29" t="s">
        <v>41</v>
      </c>
      <c r="E17" s="30">
        <v>1500</v>
      </c>
      <c r="F17" s="30">
        <f>SUM(F18:F19)</f>
        <v>1649.3999999999999</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1500</v>
      </c>
      <c r="F19" s="33">
        <f>E19*$C$46</f>
        <v>1649.3999999999999</v>
      </c>
    </row>
    <row r="20" spans="1:6" ht="30.75" customHeight="1" x14ac:dyDescent="0.25">
      <c r="A20" s="38" t="s">
        <v>66</v>
      </c>
      <c r="B20" s="96" t="s">
        <v>67</v>
      </c>
      <c r="C20" s="97"/>
      <c r="D20" s="39" t="s">
        <v>41</v>
      </c>
      <c r="E20" s="40">
        <v>119.88683160414999</v>
      </c>
      <c r="F20" s="33">
        <f>E20*$C$46</f>
        <v>131.82756003192333</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29267.262714938694</v>
      </c>
      <c r="F23" s="30">
        <f>SUM(F24:F27)</f>
        <v>32182.282081346588</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21818.18181818182</v>
      </c>
      <c r="F25" s="33">
        <f>E25*$C$46</f>
        <v>23991.272727272728</v>
      </c>
    </row>
    <row r="26" spans="1:6" s="34" customFormat="1" ht="12.75" x14ac:dyDescent="0.25">
      <c r="A26" s="31" t="s">
        <v>78</v>
      </c>
      <c r="B26" s="92" t="s">
        <v>79</v>
      </c>
      <c r="C26" s="93"/>
      <c r="D26" s="32" t="s">
        <v>41</v>
      </c>
      <c r="E26" s="33">
        <v>7449.0808967568746</v>
      </c>
      <c r="F26" s="33">
        <f>E26*$C$46</f>
        <v>8191.009354073859</v>
      </c>
    </row>
    <row r="27" spans="1:6" s="34" customFormat="1" ht="13.5" thickBot="1" x14ac:dyDescent="0.3">
      <c r="A27" s="35" t="s">
        <v>80</v>
      </c>
      <c r="B27" s="94" t="s">
        <v>81</v>
      </c>
      <c r="C27" s="95"/>
      <c r="D27" s="36" t="s">
        <v>41</v>
      </c>
      <c r="E27" s="37">
        <v>0</v>
      </c>
      <c r="F27" s="33">
        <f>E27*$C$46</f>
        <v>0</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5501.4487649999992</v>
      </c>
      <c r="F29" s="23">
        <f>SUM(F30:F33)</f>
        <v>6049.3930619939993</v>
      </c>
    </row>
    <row r="30" spans="1:6" x14ac:dyDescent="0.25">
      <c r="A30" s="41" t="s">
        <v>86</v>
      </c>
      <c r="B30" s="113" t="s">
        <v>87</v>
      </c>
      <c r="C30" s="114"/>
      <c r="D30" s="42" t="s">
        <v>41</v>
      </c>
      <c r="E30" s="43">
        <v>5276.0339999999997</v>
      </c>
      <c r="F30" s="33">
        <f>E30*$C$46</f>
        <v>5801.5269863999993</v>
      </c>
    </row>
    <row r="31" spans="1:6" x14ac:dyDescent="0.25">
      <c r="A31" s="41" t="s">
        <v>88</v>
      </c>
      <c r="B31" s="47" t="s">
        <v>89</v>
      </c>
      <c r="C31" s="48">
        <v>2.2499999999999999E-2</v>
      </c>
      <c r="D31" s="42" t="s">
        <v>41</v>
      </c>
      <c r="E31" s="43">
        <v>118.71076499999998</v>
      </c>
      <c r="F31" s="43">
        <f>F30*C31</f>
        <v>130.53435719399997</v>
      </c>
    </row>
    <row r="32" spans="1:6" x14ac:dyDescent="0.25">
      <c r="A32" s="41" t="s">
        <v>90</v>
      </c>
      <c r="B32" s="113" t="s">
        <v>91</v>
      </c>
      <c r="C32" s="114"/>
      <c r="D32" s="42" t="s">
        <v>41</v>
      </c>
      <c r="E32" s="43">
        <v>106.70400000000002</v>
      </c>
      <c r="F32" s="33">
        <f>E32*$C$46</f>
        <v>117.33171840000001</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41480.145741451066</v>
      </c>
      <c r="F34" s="23">
        <f>SUM(F7,F29)</f>
        <v>45611.568257299587</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41480.145741451066</v>
      </c>
      <c r="F36" s="43">
        <f>F34+F35</f>
        <v>45611.568257299587</v>
      </c>
    </row>
    <row r="37" spans="1:8" x14ac:dyDescent="0.25">
      <c r="A37" s="41" t="s">
        <v>100</v>
      </c>
      <c r="B37" s="47" t="s">
        <v>101</v>
      </c>
      <c r="C37" s="48">
        <f>'t11'!C37</f>
        <v>1E-3</v>
      </c>
      <c r="D37" s="42" t="s">
        <v>41</v>
      </c>
      <c r="E37" s="43">
        <v>41.480145741451068</v>
      </c>
      <c r="F37" s="43">
        <f>C54</f>
        <v>45.611568257299588</v>
      </c>
    </row>
    <row r="38" spans="1:8" x14ac:dyDescent="0.25">
      <c r="A38" s="49" t="s">
        <v>102</v>
      </c>
      <c r="B38" s="50" t="s">
        <v>103</v>
      </c>
      <c r="C38" s="61">
        <f>F38/F39</f>
        <v>1.7725310555740761E-3</v>
      </c>
      <c r="D38" s="5" t="s">
        <v>41</v>
      </c>
      <c r="E38" s="51">
        <v>41521.625887192517</v>
      </c>
      <c r="F38" s="51">
        <f>F36+F37</f>
        <v>45657.179825556886</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1000</v>
      </c>
      <c r="F40" s="57">
        <f>C57</f>
        <v>1000</v>
      </c>
    </row>
    <row r="41" spans="1:8" s="24" customFormat="1" x14ac:dyDescent="0.25">
      <c r="A41" s="58" t="s">
        <v>107</v>
      </c>
      <c r="B41" s="120" t="s">
        <v>108</v>
      </c>
      <c r="C41" s="121"/>
      <c r="D41" s="59" t="s">
        <v>118</v>
      </c>
      <c r="E41" s="60">
        <v>41.521625887192513</v>
      </c>
      <c r="F41" s="60">
        <f>F38/F40</f>
        <v>45.657179825556888</v>
      </c>
    </row>
    <row r="42" spans="1:8" x14ac:dyDescent="0.25">
      <c r="B42" s="3" t="s">
        <v>191</v>
      </c>
    </row>
    <row r="46" spans="1:8" x14ac:dyDescent="0.25">
      <c r="B46" s="74" t="s">
        <v>127</v>
      </c>
      <c r="C46" s="75">
        <v>1.0995999999999999</v>
      </c>
    </row>
    <row r="47" spans="1:8" x14ac:dyDescent="0.25">
      <c r="B47" s="76" t="s">
        <v>128</v>
      </c>
      <c r="C47" s="77">
        <f>E34</f>
        <v>41480.145741451066</v>
      </c>
    </row>
    <row r="48" spans="1:8" x14ac:dyDescent="0.25">
      <c r="B48" s="76" t="s">
        <v>129</v>
      </c>
      <c r="C48" s="77">
        <f>C47*C46</f>
        <v>45611.568257299587</v>
      </c>
    </row>
    <row r="49" spans="2:6" x14ac:dyDescent="0.25">
      <c r="B49" s="76" t="s">
        <v>130</v>
      </c>
      <c r="C49" s="77">
        <f>E35</f>
        <v>0</v>
      </c>
    </row>
    <row r="50" spans="2:6" x14ac:dyDescent="0.25">
      <c r="B50" s="76" t="s">
        <v>131</v>
      </c>
      <c r="C50" s="77">
        <f>C49</f>
        <v>0</v>
      </c>
    </row>
    <row r="51" spans="2:6" x14ac:dyDescent="0.25">
      <c r="B51" s="76" t="s">
        <v>132</v>
      </c>
      <c r="C51" s="77">
        <f>C48+C50</f>
        <v>45611.568257299587</v>
      </c>
    </row>
    <row r="52" spans="2:6" x14ac:dyDescent="0.25">
      <c r="B52" s="76" t="s">
        <v>133</v>
      </c>
      <c r="C52" s="75">
        <f>C37</f>
        <v>1E-3</v>
      </c>
    </row>
    <row r="53" spans="2:6" x14ac:dyDescent="0.25">
      <c r="B53" s="76" t="s">
        <v>134</v>
      </c>
      <c r="C53" s="75">
        <f>C52</f>
        <v>1E-3</v>
      </c>
    </row>
    <row r="54" spans="2:6" x14ac:dyDescent="0.25">
      <c r="B54" s="76" t="s">
        <v>135</v>
      </c>
      <c r="C54" s="77">
        <f>C51*C53</f>
        <v>45.611568257299588</v>
      </c>
    </row>
    <row r="55" spans="2:6" x14ac:dyDescent="0.25">
      <c r="B55" s="76" t="s">
        <v>136</v>
      </c>
      <c r="C55" s="77">
        <f>C51+C54</f>
        <v>45657.179825556886</v>
      </c>
    </row>
    <row r="56" spans="2:6" x14ac:dyDescent="0.25">
      <c r="B56" s="76" t="s">
        <v>137</v>
      </c>
      <c r="C56" s="77">
        <f>E40</f>
        <v>1000</v>
      </c>
    </row>
    <row r="57" spans="2:6" x14ac:dyDescent="0.25">
      <c r="B57" s="76" t="s">
        <v>138</v>
      </c>
      <c r="C57" s="77">
        <f>C56</f>
        <v>1000</v>
      </c>
    </row>
    <row r="58" spans="2:6" x14ac:dyDescent="0.25">
      <c r="B58" s="74" t="s">
        <v>139</v>
      </c>
      <c r="C58" s="78">
        <f>C55/(C57)</f>
        <v>45.657179825556888</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3" top="0.75" bottom="0.75" header="0.3" footer="0.3"/>
  <pageSetup paperSize="9" scale="8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D6932-2DEE-4BD4-9AF2-981BF5907A99}">
  <sheetPr>
    <pageSetUpPr fitToPage="1"/>
  </sheetPr>
  <dimension ref="A1:H83"/>
  <sheetViews>
    <sheetView topLeftCell="A20" workbookViewId="0">
      <selection activeCell="J40" sqref="J40"/>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180</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35616.020000000004</v>
      </c>
      <c r="F7" s="23">
        <f>SUM(F8,F9,F14,F15,F16,F17,F20,F21,F22,F23,F28)</f>
        <v>39163.375591999997</v>
      </c>
    </row>
    <row r="8" spans="1:6" ht="15.75" thickBot="1" x14ac:dyDescent="0.3">
      <c r="A8" s="25" t="s">
        <v>42</v>
      </c>
      <c r="B8" s="98" t="s">
        <v>43</v>
      </c>
      <c r="C8" s="99"/>
      <c r="D8" s="26" t="s">
        <v>41</v>
      </c>
      <c r="E8" s="27">
        <v>0</v>
      </c>
      <c r="F8" s="33">
        <f>E8*$C$46</f>
        <v>0</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0</v>
      </c>
      <c r="F14" s="33">
        <f t="shared" si="0"/>
        <v>0</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12666.02</v>
      </c>
      <c r="F16" s="33">
        <f t="shared" si="0"/>
        <v>13927.555591999999</v>
      </c>
    </row>
    <row r="17" spans="1:6" x14ac:dyDescent="0.25">
      <c r="A17" s="28" t="s">
        <v>60</v>
      </c>
      <c r="B17" s="100" t="s">
        <v>61</v>
      </c>
      <c r="C17" s="101"/>
      <c r="D17" s="29" t="s">
        <v>41</v>
      </c>
      <c r="E17" s="30">
        <v>0</v>
      </c>
      <c r="F17" s="30">
        <f>SUM(F18:F19)</f>
        <v>0</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0</v>
      </c>
      <c r="F19" s="33">
        <f>E19*$C$46</f>
        <v>0</v>
      </c>
    </row>
    <row r="20" spans="1:6" ht="30.75" customHeight="1" x14ac:dyDescent="0.25">
      <c r="A20" s="38" t="s">
        <v>66</v>
      </c>
      <c r="B20" s="96" t="s">
        <v>67</v>
      </c>
      <c r="C20" s="97"/>
      <c r="D20" s="39" t="s">
        <v>41</v>
      </c>
      <c r="E20" s="40">
        <v>0</v>
      </c>
      <c r="F20" s="33">
        <f>E20*$C$46</f>
        <v>0</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0</v>
      </c>
      <c r="F23" s="30">
        <f>SUM(F24:F27)</f>
        <v>0</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0</v>
      </c>
      <c r="F26" s="33">
        <f>E26*$C$46</f>
        <v>0</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22950</v>
      </c>
      <c r="F28" s="33">
        <f>E28*$C$46</f>
        <v>25235.82</v>
      </c>
    </row>
    <row r="29" spans="1:6" s="24" customFormat="1" ht="14.25" x14ac:dyDescent="0.25">
      <c r="A29" s="21" t="s">
        <v>84</v>
      </c>
      <c r="B29" s="111" t="s">
        <v>85</v>
      </c>
      <c r="C29" s="112"/>
      <c r="D29" s="22" t="s">
        <v>41</v>
      </c>
      <c r="E29" s="23">
        <v>1441473.41151</v>
      </c>
      <c r="F29" s="23">
        <f>SUM(F30:F33)</f>
        <v>1585044.1632963957</v>
      </c>
    </row>
    <row r="30" spans="1:6" x14ac:dyDescent="0.25">
      <c r="A30" s="41" t="s">
        <v>86</v>
      </c>
      <c r="B30" s="113" t="s">
        <v>87</v>
      </c>
      <c r="C30" s="114"/>
      <c r="D30" s="42" t="s">
        <v>41</v>
      </c>
      <c r="E30" s="43">
        <v>1361601.7560000001</v>
      </c>
      <c r="F30" s="33">
        <f>E30*$C$46</f>
        <v>1497217.2908975999</v>
      </c>
    </row>
    <row r="31" spans="1:6" x14ac:dyDescent="0.25">
      <c r="A31" s="41" t="s">
        <v>88</v>
      </c>
      <c r="B31" s="47" t="s">
        <v>89</v>
      </c>
      <c r="C31" s="48">
        <v>2.2499999999999999E-2</v>
      </c>
      <c r="D31" s="42" t="s">
        <v>41</v>
      </c>
      <c r="E31" s="43">
        <v>30636.039509999999</v>
      </c>
      <c r="F31" s="43">
        <f>F30*C31</f>
        <v>33687.389045195996</v>
      </c>
    </row>
    <row r="32" spans="1:6" x14ac:dyDescent="0.25">
      <c r="A32" s="41" t="s">
        <v>90</v>
      </c>
      <c r="B32" s="113" t="s">
        <v>91</v>
      </c>
      <c r="C32" s="114"/>
      <c r="D32" s="42" t="s">
        <v>41</v>
      </c>
      <c r="E32" s="43">
        <v>49235.616000000002</v>
      </c>
      <c r="F32" s="33">
        <f>E32*$C$46</f>
        <v>54139.483353600001</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1477089.43151</v>
      </c>
      <c r="F34" s="23">
        <f>SUM(F7,F29)</f>
        <v>1624207.5388883958</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1477089.43151</v>
      </c>
      <c r="F36" s="43">
        <f>F34+F35</f>
        <v>1624207.5388883958</v>
      </c>
    </row>
    <row r="37" spans="1:8" x14ac:dyDescent="0.25">
      <c r="A37" s="41" t="s">
        <v>100</v>
      </c>
      <c r="B37" s="47" t="s">
        <v>101</v>
      </c>
      <c r="C37" s="48">
        <f>'t12'!C37</f>
        <v>1E-3</v>
      </c>
      <c r="D37" s="42" t="s">
        <v>41</v>
      </c>
      <c r="E37" s="43">
        <v>1477.0894315100002</v>
      </c>
      <c r="F37" s="43">
        <f>C54</f>
        <v>1624.2075388883961</v>
      </c>
    </row>
    <row r="38" spans="1:8" x14ac:dyDescent="0.25">
      <c r="A38" s="49" t="s">
        <v>102</v>
      </c>
      <c r="B38" s="50" t="s">
        <v>103</v>
      </c>
      <c r="C38" s="61">
        <f>F38/F39</f>
        <v>6.3119037853219997E-2</v>
      </c>
      <c r="D38" s="5" t="s">
        <v>41</v>
      </c>
      <c r="E38" s="51">
        <v>1478566.5209415101</v>
      </c>
      <c r="F38" s="51">
        <f>F36+F37</f>
        <v>1625831.7464272841</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7644320</v>
      </c>
      <c r="F40" s="57">
        <f>C57</f>
        <v>7644320</v>
      </c>
    </row>
    <row r="41" spans="1:8" s="24" customFormat="1" x14ac:dyDescent="0.25">
      <c r="A41" s="58" t="s">
        <v>107</v>
      </c>
      <c r="B41" s="120" t="s">
        <v>108</v>
      </c>
      <c r="C41" s="121"/>
      <c r="D41" s="59" t="s">
        <v>118</v>
      </c>
      <c r="E41" s="60">
        <v>0.19342028080215246</v>
      </c>
      <c r="F41" s="60">
        <f>F38/F40</f>
        <v>0.21268494077004679</v>
      </c>
    </row>
    <row r="42" spans="1:8" x14ac:dyDescent="0.25">
      <c r="B42" s="3" t="s">
        <v>191</v>
      </c>
    </row>
    <row r="46" spans="1:8" x14ac:dyDescent="0.25">
      <c r="B46" s="74" t="s">
        <v>127</v>
      </c>
      <c r="C46" s="75">
        <v>1.0995999999999999</v>
      </c>
    </row>
    <row r="47" spans="1:8" x14ac:dyDescent="0.25">
      <c r="B47" s="76" t="s">
        <v>128</v>
      </c>
      <c r="C47" s="77">
        <f>E34</f>
        <v>1477089.43151</v>
      </c>
    </row>
    <row r="48" spans="1:8" x14ac:dyDescent="0.25">
      <c r="B48" s="76" t="s">
        <v>129</v>
      </c>
      <c r="C48" s="77">
        <f>C47*C46</f>
        <v>1624207.538888396</v>
      </c>
    </row>
    <row r="49" spans="2:6" x14ac:dyDescent="0.25">
      <c r="B49" s="76" t="s">
        <v>130</v>
      </c>
      <c r="C49" s="77">
        <f>E35</f>
        <v>0</v>
      </c>
    </row>
    <row r="50" spans="2:6" x14ac:dyDescent="0.25">
      <c r="B50" s="76" t="s">
        <v>131</v>
      </c>
      <c r="C50" s="77">
        <f>C49</f>
        <v>0</v>
      </c>
    </row>
    <row r="51" spans="2:6" x14ac:dyDescent="0.25">
      <c r="B51" s="76" t="s">
        <v>132</v>
      </c>
      <c r="C51" s="77">
        <f>C48+C50</f>
        <v>1624207.538888396</v>
      </c>
    </row>
    <row r="52" spans="2:6" x14ac:dyDescent="0.25">
      <c r="B52" s="76" t="s">
        <v>133</v>
      </c>
      <c r="C52" s="75">
        <f>C37</f>
        <v>1E-3</v>
      </c>
    </row>
    <row r="53" spans="2:6" x14ac:dyDescent="0.25">
      <c r="B53" s="76" t="s">
        <v>134</v>
      </c>
      <c r="C53" s="75">
        <f>C52</f>
        <v>1E-3</v>
      </c>
    </row>
    <row r="54" spans="2:6" x14ac:dyDescent="0.25">
      <c r="B54" s="76" t="s">
        <v>135</v>
      </c>
      <c r="C54" s="77">
        <f>C51*C53</f>
        <v>1624.2075388883961</v>
      </c>
    </row>
    <row r="55" spans="2:6" x14ac:dyDescent="0.25">
      <c r="B55" s="76" t="s">
        <v>136</v>
      </c>
      <c r="C55" s="77">
        <f>C51+C54</f>
        <v>1625831.7464272843</v>
      </c>
    </row>
    <row r="56" spans="2:6" x14ac:dyDescent="0.25">
      <c r="B56" s="76" t="s">
        <v>137</v>
      </c>
      <c r="C56" s="77">
        <f>E40</f>
        <v>7644320</v>
      </c>
    </row>
    <row r="57" spans="2:6" x14ac:dyDescent="0.25">
      <c r="B57" s="76" t="s">
        <v>138</v>
      </c>
      <c r="C57" s="77">
        <f>C56</f>
        <v>7644320</v>
      </c>
    </row>
    <row r="58" spans="2:6" x14ac:dyDescent="0.25">
      <c r="B58" s="74" t="s">
        <v>139</v>
      </c>
      <c r="C58" s="78">
        <f>C55/(C57)</f>
        <v>0.21268494077004682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84F4E-AEC7-465D-845A-E1AD365778BA}">
  <sheetPr>
    <pageSetUpPr fitToPage="1"/>
  </sheetPr>
  <dimension ref="A1:H83"/>
  <sheetViews>
    <sheetView topLeftCell="A6" workbookViewId="0">
      <selection activeCell="I25" sqref="I25"/>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181</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54916.9925</v>
      </c>
      <c r="F7" s="23">
        <f>SUM(F8,F9,F14,F15,F16,F17,F20,F21,F22,F23,F28)</f>
        <v>60386.724952999997</v>
      </c>
    </row>
    <row r="8" spans="1:6" ht="15.75" thickBot="1" x14ac:dyDescent="0.3">
      <c r="A8" s="25" t="s">
        <v>42</v>
      </c>
      <c r="B8" s="98" t="s">
        <v>43</v>
      </c>
      <c r="C8" s="99"/>
      <c r="D8" s="26" t="s">
        <v>41</v>
      </c>
      <c r="E8" s="27">
        <v>0</v>
      </c>
      <c r="F8" s="33">
        <f>E8*$C$46</f>
        <v>0</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0</v>
      </c>
      <c r="F14" s="33">
        <f t="shared" si="0"/>
        <v>0</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15739.392500000002</v>
      </c>
      <c r="F16" s="33">
        <f t="shared" si="0"/>
        <v>17307.035993000001</v>
      </c>
    </row>
    <row r="17" spans="1:6" x14ac:dyDescent="0.25">
      <c r="A17" s="28" t="s">
        <v>60</v>
      </c>
      <c r="B17" s="100" t="s">
        <v>61</v>
      </c>
      <c r="C17" s="101"/>
      <c r="D17" s="29" t="s">
        <v>41</v>
      </c>
      <c r="E17" s="30">
        <v>0</v>
      </c>
      <c r="F17" s="30">
        <f>SUM(F18:F19)</f>
        <v>0</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0</v>
      </c>
      <c r="F19" s="33">
        <f>E19*$C$46</f>
        <v>0</v>
      </c>
    </row>
    <row r="20" spans="1:6" ht="30.75" customHeight="1" x14ac:dyDescent="0.25">
      <c r="A20" s="38" t="s">
        <v>66</v>
      </c>
      <c r="B20" s="96" t="s">
        <v>67</v>
      </c>
      <c r="C20" s="97"/>
      <c r="D20" s="39" t="s">
        <v>41</v>
      </c>
      <c r="E20" s="40">
        <v>0</v>
      </c>
      <c r="F20" s="33">
        <f>E20*$C$46</f>
        <v>0</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0</v>
      </c>
      <c r="F23" s="30">
        <f>SUM(F24:F27)</f>
        <v>0</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0</v>
      </c>
      <c r="F26" s="33">
        <f>E26*$C$46</f>
        <v>0</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39177.599999999999</v>
      </c>
      <c r="F28" s="33">
        <f>E28*$C$46</f>
        <v>43079.688959999992</v>
      </c>
    </row>
    <row r="29" spans="1:6" s="24" customFormat="1" ht="14.25" x14ac:dyDescent="0.25">
      <c r="A29" s="21" t="s">
        <v>84</v>
      </c>
      <c r="B29" s="111" t="s">
        <v>85</v>
      </c>
      <c r="C29" s="112"/>
      <c r="D29" s="22" t="s">
        <v>41</v>
      </c>
      <c r="E29" s="23">
        <v>1791230.5733400001</v>
      </c>
      <c r="F29" s="23">
        <f>SUM(F30:F33)</f>
        <v>1969637.138444664</v>
      </c>
    </row>
    <row r="30" spans="1:6" x14ac:dyDescent="0.25">
      <c r="A30" s="41" t="s">
        <v>86</v>
      </c>
      <c r="B30" s="113" t="s">
        <v>87</v>
      </c>
      <c r="C30" s="114"/>
      <c r="D30" s="42" t="s">
        <v>41</v>
      </c>
      <c r="E30" s="43">
        <v>1691978.9040000001</v>
      </c>
      <c r="F30" s="33">
        <f>E30*$C$46</f>
        <v>1860500.0028384</v>
      </c>
    </row>
    <row r="31" spans="1:6" x14ac:dyDescent="0.25">
      <c r="A31" s="41" t="s">
        <v>88</v>
      </c>
      <c r="B31" s="47" t="s">
        <v>89</v>
      </c>
      <c r="C31" s="48">
        <v>2.2499999999999999E-2</v>
      </c>
      <c r="D31" s="42" t="s">
        <v>41</v>
      </c>
      <c r="E31" s="43">
        <v>38069.52534</v>
      </c>
      <c r="F31" s="43">
        <f>F30*C31</f>
        <v>41861.250063863998</v>
      </c>
    </row>
    <row r="32" spans="1:6" x14ac:dyDescent="0.25">
      <c r="A32" s="41" t="s">
        <v>90</v>
      </c>
      <c r="B32" s="113" t="s">
        <v>91</v>
      </c>
      <c r="C32" s="114"/>
      <c r="D32" s="42" t="s">
        <v>41</v>
      </c>
      <c r="E32" s="43">
        <v>61182.144</v>
      </c>
      <c r="F32" s="33">
        <f>E32*$C$46</f>
        <v>67275.885542399992</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1846147.5658400001</v>
      </c>
      <c r="F34" s="23">
        <f>SUM(F7,F29)</f>
        <v>2030023.8633976639</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1846147.5658400001</v>
      </c>
      <c r="F36" s="43">
        <f>F34+F35</f>
        <v>2030023.8633976639</v>
      </c>
    </row>
    <row r="37" spans="1:8" x14ac:dyDescent="0.25">
      <c r="A37" s="41" t="s">
        <v>100</v>
      </c>
      <c r="B37" s="47" t="s">
        <v>101</v>
      </c>
      <c r="C37" s="48">
        <f>'t13'!C37</f>
        <v>1E-3</v>
      </c>
      <c r="D37" s="42" t="s">
        <v>41</v>
      </c>
      <c r="E37" s="43">
        <v>1846.1475658400002</v>
      </c>
      <c r="F37" s="43">
        <f>C54</f>
        <v>2030.0238633976639</v>
      </c>
    </row>
    <row r="38" spans="1:8" x14ac:dyDescent="0.25">
      <c r="A38" s="49" t="s">
        <v>102</v>
      </c>
      <c r="B38" s="50" t="s">
        <v>103</v>
      </c>
      <c r="C38" s="61">
        <f>F38/F39</f>
        <v>7.8889643108313062E-2</v>
      </c>
      <c r="D38" s="5" t="s">
        <v>41</v>
      </c>
      <c r="E38" s="51">
        <v>1847993.7134058401</v>
      </c>
      <c r="F38" s="51">
        <f>F36+F37</f>
        <v>2032053.8872610617</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7644320</v>
      </c>
      <c r="F40" s="57">
        <f>C57</f>
        <v>7644320</v>
      </c>
    </row>
    <row r="41" spans="1:8" s="24" customFormat="1" x14ac:dyDescent="0.25">
      <c r="A41" s="58" t="s">
        <v>107</v>
      </c>
      <c r="B41" s="120" t="s">
        <v>108</v>
      </c>
      <c r="C41" s="121"/>
      <c r="D41" s="59" t="s">
        <v>118</v>
      </c>
      <c r="E41" s="60">
        <v>0.24174729909342363</v>
      </c>
      <c r="F41" s="60">
        <f>F38/F40</f>
        <v>0.26582533008312859</v>
      </c>
    </row>
    <row r="42" spans="1:8" x14ac:dyDescent="0.25">
      <c r="B42" s="3" t="s">
        <v>191</v>
      </c>
    </row>
    <row r="46" spans="1:8" x14ac:dyDescent="0.25">
      <c r="B46" s="74" t="s">
        <v>127</v>
      </c>
      <c r="C46" s="75">
        <v>1.0995999999999999</v>
      </c>
    </row>
    <row r="47" spans="1:8" x14ac:dyDescent="0.25">
      <c r="B47" s="76" t="s">
        <v>128</v>
      </c>
      <c r="C47" s="77">
        <f>E34</f>
        <v>1846147.5658400001</v>
      </c>
    </row>
    <row r="48" spans="1:8" x14ac:dyDescent="0.25">
      <c r="B48" s="76" t="s">
        <v>129</v>
      </c>
      <c r="C48" s="77">
        <f>C47*C46</f>
        <v>2030023.8633976639</v>
      </c>
    </row>
    <row r="49" spans="2:6" x14ac:dyDescent="0.25">
      <c r="B49" s="76" t="s">
        <v>130</v>
      </c>
      <c r="C49" s="77">
        <f>E35</f>
        <v>0</v>
      </c>
    </row>
    <row r="50" spans="2:6" x14ac:dyDescent="0.25">
      <c r="B50" s="76" t="s">
        <v>131</v>
      </c>
      <c r="C50" s="77">
        <f>C49</f>
        <v>0</v>
      </c>
    </row>
    <row r="51" spans="2:6" x14ac:dyDescent="0.25">
      <c r="B51" s="76" t="s">
        <v>132</v>
      </c>
      <c r="C51" s="77">
        <f>C48+C50</f>
        <v>2030023.8633976639</v>
      </c>
    </row>
    <row r="52" spans="2:6" x14ac:dyDescent="0.25">
      <c r="B52" s="76" t="s">
        <v>133</v>
      </c>
      <c r="C52" s="75">
        <f>C37</f>
        <v>1E-3</v>
      </c>
    </row>
    <row r="53" spans="2:6" x14ac:dyDescent="0.25">
      <c r="B53" s="76" t="s">
        <v>134</v>
      </c>
      <c r="C53" s="75">
        <f>C52</f>
        <v>1E-3</v>
      </c>
    </row>
    <row r="54" spans="2:6" x14ac:dyDescent="0.25">
      <c r="B54" s="76" t="s">
        <v>135</v>
      </c>
      <c r="C54" s="77">
        <f>C51*C53</f>
        <v>2030.0238633976639</v>
      </c>
    </row>
    <row r="55" spans="2:6" x14ac:dyDescent="0.25">
      <c r="B55" s="76" t="s">
        <v>136</v>
      </c>
      <c r="C55" s="77">
        <f>C51+C54</f>
        <v>2032053.8872610617</v>
      </c>
    </row>
    <row r="56" spans="2:6" x14ac:dyDescent="0.25">
      <c r="B56" s="76" t="s">
        <v>137</v>
      </c>
      <c r="C56" s="77">
        <f>E40</f>
        <v>7644320</v>
      </c>
    </row>
    <row r="57" spans="2:6" x14ac:dyDescent="0.25">
      <c r="B57" s="76" t="s">
        <v>138</v>
      </c>
      <c r="C57" s="77">
        <f>C56</f>
        <v>7644320</v>
      </c>
    </row>
    <row r="58" spans="2:6" x14ac:dyDescent="0.25">
      <c r="B58" s="74" t="s">
        <v>139</v>
      </c>
      <c r="C58" s="78">
        <f>C55/(C57)</f>
        <v>0.26582533008312859</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4" top="0.75" bottom="0.75" header="0.3" footer="0.3"/>
  <pageSetup paperSize="9" scale="8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DD5A-A13B-4E31-8AAE-307818AD8ED6}">
  <sheetPr>
    <pageSetUpPr fitToPage="1"/>
  </sheetPr>
  <dimension ref="A1:H83"/>
  <sheetViews>
    <sheetView topLeftCell="A9" workbookViewId="0">
      <selection activeCell="E27" sqref="E27"/>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182</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490882.82735654572</v>
      </c>
      <c r="F7" s="23">
        <f>SUM(F8,F9,F14,F15,F16,F17,F20,F21,F22,F23,F28)</f>
        <v>539774.75696125766</v>
      </c>
    </row>
    <row r="8" spans="1:6" ht="15.75" thickBot="1" x14ac:dyDescent="0.3">
      <c r="A8" s="25" t="s">
        <v>42</v>
      </c>
      <c r="B8" s="98" t="s">
        <v>43</v>
      </c>
      <c r="C8" s="99"/>
      <c r="D8" s="26" t="s">
        <v>41</v>
      </c>
      <c r="E8" s="27">
        <v>274514.51749848365</v>
      </c>
      <c r="F8" s="33">
        <f>E8*$C$46</f>
        <v>301856.16344133258</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24000</v>
      </c>
      <c r="F14" s="33">
        <f t="shared" si="0"/>
        <v>26390.399999999998</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1189.302025</v>
      </c>
      <c r="F16" s="33">
        <f t="shared" si="0"/>
        <v>1307.7565066899999</v>
      </c>
    </row>
    <row r="17" spans="1:6" x14ac:dyDescent="0.25">
      <c r="A17" s="28" t="s">
        <v>60</v>
      </c>
      <c r="B17" s="100" t="s">
        <v>61</v>
      </c>
      <c r="C17" s="101"/>
      <c r="D17" s="29" t="s">
        <v>41</v>
      </c>
      <c r="E17" s="30">
        <v>30000</v>
      </c>
      <c r="F17" s="30">
        <f>SUM(F18:F19)</f>
        <v>32988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30000</v>
      </c>
      <c r="F19" s="33">
        <f>E19*$C$46</f>
        <v>32988</v>
      </c>
    </row>
    <row r="20" spans="1:6" ht="30.75" customHeight="1" x14ac:dyDescent="0.25">
      <c r="A20" s="38" t="s">
        <v>66</v>
      </c>
      <c r="B20" s="96" t="s">
        <v>67</v>
      </c>
      <c r="C20" s="97"/>
      <c r="D20" s="39" t="s">
        <v>41</v>
      </c>
      <c r="E20" s="40">
        <v>8511.9650438946501</v>
      </c>
      <c r="F20" s="33">
        <f>E20*$C$46</f>
        <v>9359.7567622665556</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152667.04278916746</v>
      </c>
      <c r="F23" s="30">
        <f>SUM(F24:F27)</f>
        <v>167872.68025096855</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112487.53657995778</v>
      </c>
      <c r="F25" s="33">
        <f>E25*$C$46</f>
        <v>123691.29522332158</v>
      </c>
    </row>
    <row r="26" spans="1:6" s="34" customFormat="1" ht="12.75" x14ac:dyDescent="0.25">
      <c r="A26" s="31" t="s">
        <v>78</v>
      </c>
      <c r="B26" s="92" t="s">
        <v>79</v>
      </c>
      <c r="C26" s="93"/>
      <c r="D26" s="32" t="s">
        <v>41</v>
      </c>
      <c r="E26" s="33">
        <v>40179.506209209678</v>
      </c>
      <c r="F26" s="33">
        <f>E26*$C$46</f>
        <v>44181.38502764696</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261089.60032499998</v>
      </c>
      <c r="F29" s="23">
        <f>SUM(F30:F33)</f>
        <v>287094.12451736996</v>
      </c>
    </row>
    <row r="30" spans="1:6" x14ac:dyDescent="0.25">
      <c r="A30" s="41" t="s">
        <v>86</v>
      </c>
      <c r="B30" s="113" t="s">
        <v>87</v>
      </c>
      <c r="C30" s="114"/>
      <c r="D30" s="42" t="s">
        <v>41</v>
      </c>
      <c r="E30" s="43">
        <v>250383.56999999998</v>
      </c>
      <c r="F30" s="33">
        <f>E30*$C$46</f>
        <v>275321.77357199998</v>
      </c>
    </row>
    <row r="31" spans="1:6" x14ac:dyDescent="0.25">
      <c r="A31" s="41" t="s">
        <v>88</v>
      </c>
      <c r="B31" s="47" t="s">
        <v>89</v>
      </c>
      <c r="C31" s="48">
        <v>2.2499999999999999E-2</v>
      </c>
      <c r="D31" s="42" t="s">
        <v>41</v>
      </c>
      <c r="E31" s="43">
        <v>5633.6303249999992</v>
      </c>
      <c r="F31" s="43">
        <f>F30*C31</f>
        <v>6194.7399053699992</v>
      </c>
    </row>
    <row r="32" spans="1:6" x14ac:dyDescent="0.25">
      <c r="A32" s="41" t="s">
        <v>90</v>
      </c>
      <c r="B32" s="113" t="s">
        <v>91</v>
      </c>
      <c r="C32" s="114"/>
      <c r="D32" s="42" t="s">
        <v>41</v>
      </c>
      <c r="E32" s="43">
        <v>5072.3999999999996</v>
      </c>
      <c r="F32" s="33">
        <f>E32*$C$46</f>
        <v>5577.6110399999989</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751972.42768154573</v>
      </c>
      <c r="F34" s="23">
        <f>SUM(F7,F29)</f>
        <v>826868.88147862768</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751972.42768154573</v>
      </c>
      <c r="F36" s="43">
        <f>F34+F35</f>
        <v>826868.88147862768</v>
      </c>
    </row>
    <row r="37" spans="1:8" x14ac:dyDescent="0.25">
      <c r="A37" s="41" t="s">
        <v>100</v>
      </c>
      <c r="B37" s="47" t="s">
        <v>101</v>
      </c>
      <c r="C37" s="48">
        <f>'t14'!C37</f>
        <v>1E-3</v>
      </c>
      <c r="D37" s="42" t="s">
        <v>41</v>
      </c>
      <c r="E37" s="43">
        <v>751.9724276815457</v>
      </c>
      <c r="F37" s="43">
        <f>C54</f>
        <v>826.8688814786276</v>
      </c>
    </row>
    <row r="38" spans="1:8" x14ac:dyDescent="0.25">
      <c r="A38" s="49" t="s">
        <v>102</v>
      </c>
      <c r="B38" s="50" t="s">
        <v>103</v>
      </c>
      <c r="C38" s="61">
        <f>F38/F39</f>
        <v>3.2133312387786793E-2</v>
      </c>
      <c r="D38" s="5" t="s">
        <v>41</v>
      </c>
      <c r="E38" s="51">
        <v>752724.40010922728</v>
      </c>
      <c r="F38" s="51">
        <f>F36+F37</f>
        <v>827695.75036010635</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119</v>
      </c>
      <c r="E40" s="57">
        <v>300000</v>
      </c>
      <c r="F40" s="57">
        <f>C57</f>
        <v>300000</v>
      </c>
    </row>
    <row r="41" spans="1:8" s="24" customFormat="1" x14ac:dyDescent="0.25">
      <c r="A41" s="58" t="s">
        <v>107</v>
      </c>
      <c r="B41" s="120" t="s">
        <v>108</v>
      </c>
      <c r="C41" s="121"/>
      <c r="D41" s="59" t="s">
        <v>120</v>
      </c>
      <c r="E41" s="60">
        <v>2.5090813336974245</v>
      </c>
      <c r="F41" s="60">
        <f>F38/F40</f>
        <v>2.758985834533688</v>
      </c>
    </row>
    <row r="42" spans="1:8" x14ac:dyDescent="0.25">
      <c r="B42" s="3" t="s">
        <v>191</v>
      </c>
    </row>
    <row r="46" spans="1:8" x14ac:dyDescent="0.25">
      <c r="B46" s="74" t="s">
        <v>127</v>
      </c>
      <c r="C46" s="75">
        <v>1.0995999999999999</v>
      </c>
    </row>
    <row r="47" spans="1:8" x14ac:dyDescent="0.25">
      <c r="B47" s="76" t="s">
        <v>128</v>
      </c>
      <c r="C47" s="77">
        <f>E34</f>
        <v>751972.42768154573</v>
      </c>
    </row>
    <row r="48" spans="1:8" x14ac:dyDescent="0.25">
      <c r="B48" s="76" t="s">
        <v>129</v>
      </c>
      <c r="C48" s="77">
        <f>C47*C46</f>
        <v>826868.88147862756</v>
      </c>
    </row>
    <row r="49" spans="2:6" x14ac:dyDescent="0.25">
      <c r="B49" s="76" t="s">
        <v>130</v>
      </c>
      <c r="C49" s="77">
        <f>E35</f>
        <v>0</v>
      </c>
    </row>
    <row r="50" spans="2:6" x14ac:dyDescent="0.25">
      <c r="B50" s="76" t="s">
        <v>131</v>
      </c>
      <c r="C50" s="77">
        <f>C49</f>
        <v>0</v>
      </c>
    </row>
    <row r="51" spans="2:6" x14ac:dyDescent="0.25">
      <c r="B51" s="76" t="s">
        <v>132</v>
      </c>
      <c r="C51" s="77">
        <f>C48+C50</f>
        <v>826868.88147862756</v>
      </c>
    </row>
    <row r="52" spans="2:6" x14ac:dyDescent="0.25">
      <c r="B52" s="76" t="s">
        <v>133</v>
      </c>
      <c r="C52" s="75">
        <f>C37</f>
        <v>1E-3</v>
      </c>
    </row>
    <row r="53" spans="2:6" x14ac:dyDescent="0.25">
      <c r="B53" s="76" t="s">
        <v>134</v>
      </c>
      <c r="C53" s="75">
        <f>C52</f>
        <v>1E-3</v>
      </c>
    </row>
    <row r="54" spans="2:6" x14ac:dyDescent="0.25">
      <c r="B54" s="76" t="s">
        <v>135</v>
      </c>
      <c r="C54" s="77">
        <f>C51*C53</f>
        <v>826.8688814786276</v>
      </c>
    </row>
    <row r="55" spans="2:6" x14ac:dyDescent="0.25">
      <c r="B55" s="76" t="s">
        <v>136</v>
      </c>
      <c r="C55" s="77">
        <f>C51+C54</f>
        <v>827695.75036010623</v>
      </c>
    </row>
    <row r="56" spans="2:6" x14ac:dyDescent="0.25">
      <c r="B56" s="76" t="s">
        <v>159</v>
      </c>
      <c r="C56" s="77">
        <f>E40</f>
        <v>300000</v>
      </c>
    </row>
    <row r="57" spans="2:6" x14ac:dyDescent="0.25">
      <c r="B57" s="76" t="s">
        <v>160</v>
      </c>
      <c r="C57" s="77">
        <f>C56</f>
        <v>300000</v>
      </c>
    </row>
    <row r="58" spans="2:6" x14ac:dyDescent="0.25">
      <c r="B58" s="74" t="s">
        <v>161</v>
      </c>
      <c r="C58" s="78">
        <f>C55/(C57)</f>
        <v>2.7589858345336875</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162</v>
      </c>
      <c r="C75" s="89"/>
      <c r="D75" s="89"/>
      <c r="E75" s="89"/>
      <c r="F75" s="89"/>
    </row>
    <row r="76" spans="1:6" x14ac:dyDescent="0.25">
      <c r="B76" s="89"/>
      <c r="C76" s="89"/>
      <c r="D76" s="89"/>
      <c r="E76" s="89"/>
      <c r="F76" s="89"/>
    </row>
    <row r="77" spans="1:6" x14ac:dyDescent="0.25">
      <c r="B77" s="80" t="s">
        <v>149</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4" top="0.75" bottom="0.75" header="0.3" footer="0.3"/>
  <pageSetup paperSize="9" scale="8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6AB8-9AFE-4F5C-81DA-627D85B3431D}">
  <sheetPr>
    <pageSetUpPr fitToPage="1"/>
  </sheetPr>
  <dimension ref="A1:H83"/>
  <sheetViews>
    <sheetView topLeftCell="A27" workbookViewId="0">
      <selection activeCell="E27" sqref="E27"/>
    </sheetView>
  </sheetViews>
  <sheetFormatPr defaultRowHeight="15" x14ac:dyDescent="0.25"/>
  <cols>
    <col min="1" max="1" width="6.5703125" style="15" customWidth="1"/>
    <col min="2" max="2" width="50.7109375" style="15" customWidth="1"/>
    <col min="3" max="3" width="12.28515625"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183</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363297.24837879464</v>
      </c>
      <c r="F7" s="23">
        <f>SUM(F8,F9,F14,F15,F16,F17,F20,F21,F22,F23,F28)</f>
        <v>399481.65431732254</v>
      </c>
    </row>
    <row r="8" spans="1:6" ht="15.75" thickBot="1" x14ac:dyDescent="0.3">
      <c r="A8" s="25" t="s">
        <v>42</v>
      </c>
      <c r="B8" s="98" t="s">
        <v>43</v>
      </c>
      <c r="C8" s="99"/>
      <c r="D8" s="26" t="s">
        <v>41</v>
      </c>
      <c r="E8" s="27">
        <v>60573.625926895453</v>
      </c>
      <c r="F8" s="33">
        <f>E8*$C$46</f>
        <v>66606.75906921424</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36000</v>
      </c>
      <c r="F14" s="33">
        <f t="shared" si="0"/>
        <v>39585.599999999999</v>
      </c>
    </row>
    <row r="15" spans="1:6" x14ac:dyDescent="0.25">
      <c r="A15" s="41" t="s">
        <v>56</v>
      </c>
      <c r="B15" s="113" t="s">
        <v>57</v>
      </c>
      <c r="C15" s="114"/>
      <c r="D15" s="42" t="s">
        <v>41</v>
      </c>
      <c r="E15" s="43">
        <v>131204.53773556452</v>
      </c>
      <c r="F15" s="33">
        <f t="shared" si="0"/>
        <v>144272.50969402672</v>
      </c>
    </row>
    <row r="16" spans="1:6" ht="15.75" thickBot="1" x14ac:dyDescent="0.3">
      <c r="A16" s="25" t="s">
        <v>58</v>
      </c>
      <c r="B16" s="98" t="s">
        <v>59</v>
      </c>
      <c r="C16" s="99"/>
      <c r="D16" s="26" t="s">
        <v>41</v>
      </c>
      <c r="E16" s="27">
        <v>322.23845000000006</v>
      </c>
      <c r="F16" s="33">
        <f t="shared" si="0"/>
        <v>354.33339962000002</v>
      </c>
    </row>
    <row r="17" spans="1:6" x14ac:dyDescent="0.25">
      <c r="A17" s="28" t="s">
        <v>60</v>
      </c>
      <c r="B17" s="100" t="s">
        <v>61</v>
      </c>
      <c r="C17" s="101"/>
      <c r="D17" s="29" t="s">
        <v>41</v>
      </c>
      <c r="E17" s="30">
        <v>45000</v>
      </c>
      <c r="F17" s="30">
        <f>SUM(F18:F19)</f>
        <v>49481.999999999993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45000</v>
      </c>
      <c r="F19" s="33">
        <f>E19*$C$46</f>
        <v>49481.999999999993</v>
      </c>
    </row>
    <row r="20" spans="1:6" ht="30.75" customHeight="1" x14ac:dyDescent="0.25">
      <c r="A20" s="38" t="s">
        <v>66</v>
      </c>
      <c r="B20" s="96" t="s">
        <v>67</v>
      </c>
      <c r="C20" s="97"/>
      <c r="D20" s="39" t="s">
        <v>41</v>
      </c>
      <c r="E20" s="40">
        <v>1878.2270284650169</v>
      </c>
      <c r="F20" s="33">
        <f>E20*$C$46</f>
        <v>2065.2984405001325</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88318.619237869643</v>
      </c>
      <c r="F23" s="30">
        <f>SUM(F24:F27)</f>
        <v>97115.153713961452</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66053.721124015778</v>
      </c>
      <c r="F25" s="33">
        <f>E25*$C$46</f>
        <v>72632.671747967746</v>
      </c>
    </row>
    <row r="26" spans="1:6" s="34" customFormat="1" ht="12.75" x14ac:dyDescent="0.25">
      <c r="A26" s="31" t="s">
        <v>78</v>
      </c>
      <c r="B26" s="92" t="s">
        <v>79</v>
      </c>
      <c r="C26" s="93"/>
      <c r="D26" s="32" t="s">
        <v>41</v>
      </c>
      <c r="E26" s="33">
        <v>22264.898113853869</v>
      </c>
      <c r="F26" s="33">
        <f>E26*$C$46</f>
        <v>24482.481965993713</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70780.914780000006</v>
      </c>
      <c r="F29" s="23">
        <f>SUM(F30:F33)</f>
        <v>77830.693892087991</v>
      </c>
    </row>
    <row r="30" spans="1:6" x14ac:dyDescent="0.25">
      <c r="A30" s="41" t="s">
        <v>86</v>
      </c>
      <c r="B30" s="113" t="s">
        <v>87</v>
      </c>
      <c r="C30" s="114"/>
      <c r="D30" s="42" t="s">
        <v>41</v>
      </c>
      <c r="E30" s="43">
        <v>67878.168000000005</v>
      </c>
      <c r="F30" s="33">
        <f>E30*$C$46</f>
        <v>74638.833532799996</v>
      </c>
    </row>
    <row r="31" spans="1:6" x14ac:dyDescent="0.25">
      <c r="A31" s="41" t="s">
        <v>88</v>
      </c>
      <c r="B31" s="47" t="s">
        <v>89</v>
      </c>
      <c r="C31" s="48">
        <v>2.2499999999999999E-2</v>
      </c>
      <c r="D31" s="42" t="s">
        <v>41</v>
      </c>
      <c r="E31" s="43">
        <v>1527.2587800000001</v>
      </c>
      <c r="F31" s="43">
        <f>F30*C31</f>
        <v>1679.3737544879998</v>
      </c>
    </row>
    <row r="32" spans="1:6" x14ac:dyDescent="0.25">
      <c r="A32" s="41" t="s">
        <v>90</v>
      </c>
      <c r="B32" s="113" t="s">
        <v>91</v>
      </c>
      <c r="C32" s="114"/>
      <c r="D32" s="42" t="s">
        <v>41</v>
      </c>
      <c r="E32" s="43">
        <v>1375.4879999999998</v>
      </c>
      <c r="F32" s="33">
        <f>E32*$C$46</f>
        <v>1512.4866047999997</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434078.16315879463</v>
      </c>
      <c r="F34" s="23">
        <f>SUM(F7,F29)</f>
        <v>477312.34820941056</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434078.16315879463</v>
      </c>
      <c r="F36" s="43">
        <f>F34+F35</f>
        <v>477312.34820941056</v>
      </c>
    </row>
    <row r="37" spans="1:8" x14ac:dyDescent="0.25">
      <c r="A37" s="41" t="s">
        <v>100</v>
      </c>
      <c r="B37" s="47" t="s">
        <v>101</v>
      </c>
      <c r="C37" s="48">
        <f>'t15'!C37</f>
        <v>1E-3</v>
      </c>
      <c r="D37" s="42" t="s">
        <v>41</v>
      </c>
      <c r="E37" s="43">
        <v>434.07816315879467</v>
      </c>
      <c r="F37" s="43">
        <f>C54</f>
        <v>477.31234820941057</v>
      </c>
    </row>
    <row r="38" spans="1:8" x14ac:dyDescent="0.25">
      <c r="A38" s="49" t="s">
        <v>102</v>
      </c>
      <c r="B38" s="50" t="s">
        <v>103</v>
      </c>
      <c r="C38" s="61">
        <f>F38/F39</f>
        <v>1.8549043427700321E-2</v>
      </c>
      <c r="D38" s="5" t="s">
        <v>41</v>
      </c>
      <c r="E38" s="51">
        <v>434512.24132195342</v>
      </c>
      <c r="F38" s="51">
        <f>F36+F37</f>
        <v>477789.66055761999</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8.1426789787616694E-3</v>
      </c>
      <c r="F41" s="62">
        <f>F38/F40</f>
        <v>8.9536898050463325E-3</v>
      </c>
    </row>
    <row r="42" spans="1:8" x14ac:dyDescent="0.25">
      <c r="B42" s="3" t="s">
        <v>191</v>
      </c>
    </row>
    <row r="46" spans="1:8" x14ac:dyDescent="0.25">
      <c r="B46" s="74" t="s">
        <v>127</v>
      </c>
      <c r="C46" s="75">
        <v>1.0995999999999999</v>
      </c>
    </row>
    <row r="47" spans="1:8" x14ac:dyDescent="0.25">
      <c r="B47" s="76" t="s">
        <v>128</v>
      </c>
      <c r="C47" s="77">
        <f>E34</f>
        <v>434078.16315879463</v>
      </c>
    </row>
    <row r="48" spans="1:8" x14ac:dyDescent="0.25">
      <c r="B48" s="76" t="s">
        <v>129</v>
      </c>
      <c r="C48" s="77">
        <f>C47*C46</f>
        <v>477312.34820941056</v>
      </c>
    </row>
    <row r="49" spans="2:6" x14ac:dyDescent="0.25">
      <c r="B49" s="76" t="s">
        <v>130</v>
      </c>
      <c r="C49" s="77">
        <f>E35</f>
        <v>0</v>
      </c>
    </row>
    <row r="50" spans="2:6" x14ac:dyDescent="0.25">
      <c r="B50" s="76" t="s">
        <v>131</v>
      </c>
      <c r="C50" s="77">
        <f>C49</f>
        <v>0</v>
      </c>
    </row>
    <row r="51" spans="2:6" x14ac:dyDescent="0.25">
      <c r="B51" s="76" t="s">
        <v>132</v>
      </c>
      <c r="C51" s="77">
        <f>C48+C50</f>
        <v>477312.34820941056</v>
      </c>
    </row>
    <row r="52" spans="2:6" x14ac:dyDescent="0.25">
      <c r="B52" s="76" t="s">
        <v>133</v>
      </c>
      <c r="C52" s="75">
        <f>C37</f>
        <v>1E-3</v>
      </c>
    </row>
    <row r="53" spans="2:6" x14ac:dyDescent="0.25">
      <c r="B53" s="76" t="s">
        <v>134</v>
      </c>
      <c r="C53" s="75">
        <f>C52</f>
        <v>1E-3</v>
      </c>
    </row>
    <row r="54" spans="2:6" x14ac:dyDescent="0.25">
      <c r="B54" s="76" t="s">
        <v>135</v>
      </c>
      <c r="C54" s="77">
        <f>C51*C53</f>
        <v>477.31234820941057</v>
      </c>
    </row>
    <row r="55" spans="2:6" x14ac:dyDescent="0.25">
      <c r="B55" s="76" t="s">
        <v>136</v>
      </c>
      <c r="C55" s="77">
        <f>C51+C54</f>
        <v>477789.66055761999</v>
      </c>
    </row>
    <row r="56" spans="2:6" x14ac:dyDescent="0.25">
      <c r="B56" s="76" t="s">
        <v>137</v>
      </c>
      <c r="C56" s="77">
        <f>E40</f>
        <v>53362320</v>
      </c>
    </row>
    <row r="57" spans="2:6" x14ac:dyDescent="0.25">
      <c r="B57" s="76" t="s">
        <v>138</v>
      </c>
      <c r="C57" s="77">
        <f>C56</f>
        <v>53362320</v>
      </c>
    </row>
    <row r="58" spans="2:6" x14ac:dyDescent="0.25">
      <c r="B58" s="74" t="s">
        <v>139</v>
      </c>
      <c r="C58" s="82">
        <f>C55/(C57)</f>
        <v>8.9536898050463325E-3</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3"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2D26-6308-4E5D-8D25-69733D096502}">
  <sheetPr>
    <pageSetUpPr fitToPage="1"/>
  </sheetPr>
  <dimension ref="A1:J37"/>
  <sheetViews>
    <sheetView workbookViewId="0">
      <selection activeCell="H12" sqref="H12"/>
    </sheetView>
  </sheetViews>
  <sheetFormatPr defaultColWidth="8.85546875" defaultRowHeight="15" x14ac:dyDescent="0.25"/>
  <cols>
    <col min="1" max="1" width="7" style="3" bestFit="1" customWidth="1"/>
    <col min="2" max="2" width="50.5703125" style="3" customWidth="1"/>
    <col min="3" max="3" width="10.28515625" style="3" customWidth="1"/>
    <col min="4" max="4" width="13.28515625" style="3" customWidth="1"/>
    <col min="5" max="5" width="14.85546875" style="3" customWidth="1"/>
    <col min="6" max="16384" width="8.85546875" style="3"/>
  </cols>
  <sheetData>
    <row r="1" spans="1:6" ht="71.25" x14ac:dyDescent="0.25">
      <c r="A1" s="1" t="s">
        <v>0</v>
      </c>
      <c r="B1" s="1" t="s">
        <v>1</v>
      </c>
      <c r="C1" s="1" t="s">
        <v>2</v>
      </c>
      <c r="D1" s="1" t="s">
        <v>123</v>
      </c>
      <c r="E1" s="1" t="s">
        <v>124</v>
      </c>
      <c r="F1" s="83" t="s">
        <v>152</v>
      </c>
    </row>
    <row r="2" spans="1:6" ht="41.45" customHeight="1" x14ac:dyDescent="0.25">
      <c r="A2" s="85" t="s">
        <v>125</v>
      </c>
      <c r="B2" s="85"/>
      <c r="C2" s="85"/>
      <c r="D2" s="85"/>
      <c r="E2" s="85"/>
      <c r="F2" s="85"/>
    </row>
    <row r="3" spans="1:6" ht="45" x14ac:dyDescent="0.25">
      <c r="A3" s="5">
        <v>1</v>
      </c>
      <c r="B3" s="50" t="s">
        <v>3</v>
      </c>
      <c r="C3" s="5" t="s">
        <v>4</v>
      </c>
      <c r="D3" s="7">
        <f>'t1'!E41</f>
        <v>17.494085861042617</v>
      </c>
      <c r="E3" s="7">
        <f>'t1'!F41</f>
        <v>19.236496812802457</v>
      </c>
      <c r="F3" s="81">
        <f>E3*100%/D3</f>
        <v>1.0995999999999997</v>
      </c>
    </row>
    <row r="4" spans="1:6" s="144" customFormat="1" ht="30" x14ac:dyDescent="0.25">
      <c r="A4" s="6">
        <v>2</v>
      </c>
      <c r="B4" s="142" t="s">
        <v>5</v>
      </c>
      <c r="C4" s="6" t="s">
        <v>6</v>
      </c>
      <c r="D4" s="64">
        <f>'t2'!E41</f>
        <v>473.86535351304349</v>
      </c>
      <c r="E4" s="64">
        <f>'t2'!F41</f>
        <v>521.06234289330905</v>
      </c>
      <c r="F4" s="143">
        <f>E4*100%/D4</f>
        <v>1.099600000359525</v>
      </c>
    </row>
    <row r="5" spans="1:6" s="151" customFormat="1" ht="45" x14ac:dyDescent="0.25">
      <c r="A5" s="147">
        <v>3</v>
      </c>
      <c r="B5" s="148" t="s">
        <v>7</v>
      </c>
      <c r="C5" s="147" t="s">
        <v>4</v>
      </c>
      <c r="D5" s="149">
        <f>'t3'!E41</f>
        <v>32.865941024501417</v>
      </c>
      <c r="E5" s="149">
        <f>'t3'!F41</f>
        <v>36.139388735570506</v>
      </c>
      <c r="F5" s="150">
        <f t="shared" ref="F5:F27" si="0">E5*100%/D5</f>
        <v>1.0995999995444752</v>
      </c>
    </row>
    <row r="6" spans="1:6" x14ac:dyDescent="0.25">
      <c r="A6" s="5">
        <v>4</v>
      </c>
      <c r="B6" s="50" t="s">
        <v>8</v>
      </c>
      <c r="C6" s="5" t="s">
        <v>4</v>
      </c>
      <c r="D6" s="7">
        <f>'t4'!E41</f>
        <v>18.865612224243144</v>
      </c>
      <c r="E6" s="7">
        <f>'t4'!F41</f>
        <v>20.74462720177776</v>
      </c>
      <c r="F6" s="81">
        <f t="shared" si="0"/>
        <v>1.0995999999999999</v>
      </c>
    </row>
    <row r="7" spans="1:6" x14ac:dyDescent="0.25">
      <c r="A7" s="5">
        <v>5</v>
      </c>
      <c r="B7" s="50" t="s">
        <v>9</v>
      </c>
      <c r="C7" s="5" t="s">
        <v>4</v>
      </c>
      <c r="D7" s="7">
        <f>'t5'!E41</f>
        <v>48.163847941724093</v>
      </c>
      <c r="E7" s="7">
        <f>'t5'!F41</f>
        <v>52.960967196719814</v>
      </c>
      <c r="F7" s="81">
        <f t="shared" si="0"/>
        <v>1.0996000000000001</v>
      </c>
    </row>
    <row r="8" spans="1:6" ht="45" x14ac:dyDescent="0.25">
      <c r="A8" s="5">
        <v>6</v>
      </c>
      <c r="B8" s="50" t="s">
        <v>10</v>
      </c>
      <c r="C8" s="5" t="s">
        <v>11</v>
      </c>
      <c r="D8" s="7">
        <f>'t6'!E41</f>
        <v>1.6167693192994153</v>
      </c>
      <c r="E8" s="7">
        <f>'t6'!F41</f>
        <v>1.7777995435016365</v>
      </c>
      <c r="F8" s="81">
        <f t="shared" si="0"/>
        <v>1.0995999999999997</v>
      </c>
    </row>
    <row r="9" spans="1:6" ht="45" x14ac:dyDescent="0.25">
      <c r="A9" s="5">
        <v>7</v>
      </c>
      <c r="B9" s="50" t="s">
        <v>12</v>
      </c>
      <c r="C9" s="5" t="s">
        <v>11</v>
      </c>
      <c r="D9" s="7">
        <f>'t7'!E41</f>
        <v>6.1440545574134218</v>
      </c>
      <c r="E9" s="7">
        <f>'t7'!F41</f>
        <v>6.7560023913317986</v>
      </c>
      <c r="F9" s="81">
        <f t="shared" si="0"/>
        <v>1.0995999999999999</v>
      </c>
    </row>
    <row r="10" spans="1:6" ht="45" x14ac:dyDescent="0.25">
      <c r="A10" s="5">
        <v>8</v>
      </c>
      <c r="B10" s="50" t="s">
        <v>13</v>
      </c>
      <c r="C10" s="5" t="s">
        <v>14</v>
      </c>
      <c r="D10" s="7">
        <f>'t8'!E41</f>
        <v>51.760989536644509</v>
      </c>
      <c r="E10" s="7">
        <f>'t8'!F41</f>
        <v>56.916384094494305</v>
      </c>
      <c r="F10" s="81">
        <f t="shared" si="0"/>
        <v>1.0996000000000001</v>
      </c>
    </row>
    <row r="11" spans="1:6" s="144" customFormat="1" ht="30" x14ac:dyDescent="0.25">
      <c r="A11" s="8">
        <v>9</v>
      </c>
      <c r="B11" s="11" t="s">
        <v>15</v>
      </c>
      <c r="C11" s="8" t="s">
        <v>6</v>
      </c>
      <c r="D11" s="9">
        <f>'t9'!E41</f>
        <v>1053.7169331807381</v>
      </c>
      <c r="E11" s="9">
        <f>'t9'!F41</f>
        <v>1158.6671397255393</v>
      </c>
      <c r="F11" s="143">
        <f t="shared" si="0"/>
        <v>1.0995999999999997</v>
      </c>
    </row>
    <row r="12" spans="1:6" s="141" customFormat="1" ht="60" x14ac:dyDescent="0.25">
      <c r="A12" s="8">
        <v>10</v>
      </c>
      <c r="B12" s="11" t="s">
        <v>16</v>
      </c>
      <c r="C12" s="8" t="s">
        <v>6</v>
      </c>
      <c r="D12" s="9">
        <f>'t10'!E41</f>
        <v>569.45892042076662</v>
      </c>
      <c r="E12" s="9">
        <f>'t10'!F41</f>
        <v>626.17702896021729</v>
      </c>
      <c r="F12" s="143">
        <f t="shared" si="0"/>
        <v>1.0996000001150958</v>
      </c>
    </row>
    <row r="13" spans="1:6" ht="30" x14ac:dyDescent="0.25">
      <c r="A13" s="10" t="s">
        <v>17</v>
      </c>
      <c r="B13" s="11" t="s">
        <v>18</v>
      </c>
      <c r="C13" s="8" t="s">
        <v>11</v>
      </c>
      <c r="D13" s="9">
        <f>'t10.1'!E41</f>
        <v>6.4406246637987437</v>
      </c>
      <c r="E13" s="9">
        <f>'t10.1'!F41</f>
        <v>7.082110880313099</v>
      </c>
      <c r="F13" s="81">
        <f t="shared" si="0"/>
        <v>1.0996000000000001</v>
      </c>
    </row>
    <row r="14" spans="1:6" ht="33" customHeight="1" x14ac:dyDescent="0.25">
      <c r="A14" s="86" t="s">
        <v>126</v>
      </c>
      <c r="B14" s="87"/>
      <c r="C14" s="87"/>
      <c r="D14" s="87"/>
      <c r="E14" s="87"/>
      <c r="F14" s="88"/>
    </row>
    <row r="15" spans="1:6" ht="30" x14ac:dyDescent="0.25">
      <c r="A15" s="8">
        <v>11</v>
      </c>
      <c r="B15" s="11" t="s">
        <v>19</v>
      </c>
      <c r="C15" s="8" t="s">
        <v>20</v>
      </c>
      <c r="D15" s="12">
        <f>'t11'!E41</f>
        <v>4.7870388947040135E-3</v>
      </c>
      <c r="E15" s="12">
        <f>'t11'!F41</f>
        <v>5.263827968616532E-3</v>
      </c>
      <c r="F15" s="81">
        <f t="shared" si="0"/>
        <v>1.0995999999999997</v>
      </c>
    </row>
    <row r="16" spans="1:6" ht="45" x14ac:dyDescent="0.25">
      <c r="A16" s="8">
        <v>12</v>
      </c>
      <c r="B16" s="11" t="s">
        <v>21</v>
      </c>
      <c r="C16" s="8" t="s">
        <v>22</v>
      </c>
      <c r="D16" s="9">
        <f>'t12'!E41</f>
        <v>41.521625887192513</v>
      </c>
      <c r="E16" s="9">
        <f>'t12'!F41</f>
        <v>45.657179825556888</v>
      </c>
      <c r="F16" s="81">
        <f t="shared" si="0"/>
        <v>1.0995999999999999</v>
      </c>
    </row>
    <row r="17" spans="1:6" ht="43.15" customHeight="1" x14ac:dyDescent="0.25">
      <c r="A17" s="8">
        <v>13</v>
      </c>
      <c r="B17" s="11" t="s">
        <v>23</v>
      </c>
      <c r="C17" s="8" t="s">
        <v>22</v>
      </c>
      <c r="D17" s="9">
        <f>'t13'!E41</f>
        <v>0.19342028080215246</v>
      </c>
      <c r="E17" s="9">
        <f>'t13'!F41</f>
        <v>0.21268494077004679</v>
      </c>
      <c r="F17" s="81">
        <f t="shared" si="0"/>
        <v>1.0995999999999997</v>
      </c>
    </row>
    <row r="18" spans="1:6" ht="43.15" customHeight="1" x14ac:dyDescent="0.25">
      <c r="A18" s="8">
        <v>14</v>
      </c>
      <c r="B18" s="11" t="s">
        <v>24</v>
      </c>
      <c r="C18" s="8" t="s">
        <v>22</v>
      </c>
      <c r="D18" s="9">
        <f>'t14'!E41</f>
        <v>0.24174729909342363</v>
      </c>
      <c r="E18" s="9">
        <f>'t14'!F41</f>
        <v>0.26582533008312859</v>
      </c>
      <c r="F18" s="81">
        <f t="shared" si="0"/>
        <v>1.0995999999999999</v>
      </c>
    </row>
    <row r="19" spans="1:6" x14ac:dyDescent="0.25">
      <c r="A19" s="8">
        <v>15</v>
      </c>
      <c r="B19" s="11" t="s">
        <v>25</v>
      </c>
      <c r="C19" s="8" t="s">
        <v>26</v>
      </c>
      <c r="D19" s="9">
        <f>'t15'!E41</f>
        <v>2.5090813336974245</v>
      </c>
      <c r="E19" s="9">
        <f>'t15'!F41</f>
        <v>2.758985834533688</v>
      </c>
      <c r="F19" s="81">
        <f t="shared" si="0"/>
        <v>1.0995999999999999</v>
      </c>
    </row>
    <row r="20" spans="1:6" x14ac:dyDescent="0.25">
      <c r="A20" s="8">
        <v>16</v>
      </c>
      <c r="B20" s="11" t="s">
        <v>27</v>
      </c>
      <c r="C20" s="8" t="s">
        <v>22</v>
      </c>
      <c r="D20" s="12">
        <f>'t16'!E41</f>
        <v>8.1426789787616694E-3</v>
      </c>
      <c r="E20" s="12">
        <f>'t16'!F41</f>
        <v>8.9536898050463325E-3</v>
      </c>
      <c r="F20" s="81">
        <f t="shared" si="0"/>
        <v>1.0996000000000001</v>
      </c>
    </row>
    <row r="21" spans="1:6" x14ac:dyDescent="0.25">
      <c r="A21" s="8">
        <v>17</v>
      </c>
      <c r="B21" s="11" t="s">
        <v>28</v>
      </c>
      <c r="C21" s="8" t="s">
        <v>22</v>
      </c>
      <c r="D21" s="12">
        <f>'t17'!E41</f>
        <v>3.4477394894738651E-3</v>
      </c>
      <c r="E21" s="12">
        <f>'t17'!F41</f>
        <v>3.7911343426254621E-3</v>
      </c>
      <c r="F21" s="81">
        <f t="shared" si="0"/>
        <v>1.0995999999999999</v>
      </c>
    </row>
    <row r="22" spans="1:6" ht="30" x14ac:dyDescent="0.25">
      <c r="A22" s="8">
        <v>18</v>
      </c>
      <c r="B22" s="11" t="s">
        <v>29</v>
      </c>
      <c r="C22" s="8" t="s">
        <v>22</v>
      </c>
      <c r="D22" s="13">
        <f>'t18'!E41</f>
        <v>8.2500230261128536E-3</v>
      </c>
      <c r="E22" s="13">
        <f>'t18'!F41</f>
        <v>9.0717253195136942E-3</v>
      </c>
      <c r="F22" s="81">
        <f t="shared" si="0"/>
        <v>1.0996000000000001</v>
      </c>
    </row>
    <row r="23" spans="1:6" ht="28.9" customHeight="1" x14ac:dyDescent="0.25">
      <c r="A23" s="8">
        <v>19</v>
      </c>
      <c r="B23" s="11" t="s">
        <v>30</v>
      </c>
      <c r="C23" s="8" t="s">
        <v>22</v>
      </c>
      <c r="D23" s="14">
        <f>'t19'!E41</f>
        <v>2.2305686351356199E-2</v>
      </c>
      <c r="E23" s="14">
        <f>'t19'!F41</f>
        <v>2.4527332711951275E-2</v>
      </c>
      <c r="F23" s="81">
        <f t="shared" si="0"/>
        <v>1.0995999999999999</v>
      </c>
    </row>
    <row r="24" spans="1:6" ht="45" x14ac:dyDescent="0.25">
      <c r="A24" s="8">
        <v>20</v>
      </c>
      <c r="B24" s="11" t="s">
        <v>31</v>
      </c>
      <c r="C24" s="8" t="s">
        <v>22</v>
      </c>
      <c r="D24" s="12">
        <f>'t20'!E41</f>
        <v>1.7875378747889518E-2</v>
      </c>
      <c r="E24" s="12">
        <f>'t20'!F41</f>
        <v>1.9655766471179312E-2</v>
      </c>
      <c r="F24" s="81">
        <f t="shared" si="0"/>
        <v>1.0995999999999999</v>
      </c>
    </row>
    <row r="25" spans="1:6" ht="45" x14ac:dyDescent="0.25">
      <c r="A25" s="8">
        <v>21</v>
      </c>
      <c r="B25" s="11" t="s">
        <v>32</v>
      </c>
      <c r="C25" s="8" t="s">
        <v>22</v>
      </c>
      <c r="D25" s="12">
        <f>'t21'!E41</f>
        <v>3.1636282455984537E-2</v>
      </c>
      <c r="E25" s="12">
        <f>'t21'!F41</f>
        <v>3.4787256188600589E-2</v>
      </c>
      <c r="F25" s="81">
        <f t="shared" si="0"/>
        <v>1.0995999999999997</v>
      </c>
    </row>
    <row r="26" spans="1:6" ht="45" x14ac:dyDescent="0.25">
      <c r="A26" s="8">
        <v>22</v>
      </c>
      <c r="B26" s="11" t="s">
        <v>33</v>
      </c>
      <c r="C26" s="8" t="s">
        <v>22</v>
      </c>
      <c r="D26" s="12">
        <f>'t22'!E41</f>
        <v>2.0566251560398523E-2</v>
      </c>
      <c r="E26" s="12">
        <f>'t22'!F41</f>
        <v>2.2614650215814214E-2</v>
      </c>
      <c r="F26" s="81">
        <f t="shared" si="0"/>
        <v>1.0995999999999999</v>
      </c>
    </row>
    <row r="27" spans="1:6" ht="45" x14ac:dyDescent="0.25">
      <c r="A27" s="8">
        <v>23</v>
      </c>
      <c r="B27" s="11" t="s">
        <v>34</v>
      </c>
      <c r="C27" s="8" t="s">
        <v>22</v>
      </c>
      <c r="D27" s="12">
        <f>'t23'!E41</f>
        <v>3.4132566843172236E-2</v>
      </c>
      <c r="E27" s="12">
        <f>'t23'!F41</f>
        <v>3.7532170500752179E-2</v>
      </c>
      <c r="F27" s="81">
        <f t="shared" si="0"/>
        <v>1.0995999999999997</v>
      </c>
    </row>
    <row r="30" spans="1:6" x14ac:dyDescent="0.25">
      <c r="B30" s="3" t="s">
        <v>157</v>
      </c>
      <c r="C30" s="79" t="s">
        <v>158</v>
      </c>
    </row>
    <row r="31" spans="1:6" x14ac:dyDescent="0.25">
      <c r="B31" s="3" t="s">
        <v>209</v>
      </c>
      <c r="C31" s="2">
        <v>1.0995999999999999</v>
      </c>
    </row>
    <row r="34" spans="1:10" x14ac:dyDescent="0.25">
      <c r="A34" s="157" t="s">
        <v>153</v>
      </c>
      <c r="B34" s="157"/>
      <c r="C34" s="157"/>
      <c r="D34" s="157"/>
      <c r="E34" s="157"/>
      <c r="F34" s="157"/>
      <c r="G34" s="124"/>
      <c r="H34" s="124"/>
      <c r="I34" s="124"/>
      <c r="J34" s="124"/>
    </row>
    <row r="35" spans="1:10" x14ac:dyDescent="0.25">
      <c r="A35" s="157" t="s">
        <v>154</v>
      </c>
      <c r="B35" s="157"/>
      <c r="C35" s="157"/>
      <c r="D35" s="157"/>
      <c r="E35" s="157"/>
      <c r="F35" s="157"/>
      <c r="G35" s="124"/>
      <c r="H35" s="124"/>
      <c r="I35" s="124"/>
      <c r="J35" s="124"/>
    </row>
    <row r="36" spans="1:10" x14ac:dyDescent="0.25">
      <c r="A36" s="157" t="s">
        <v>155</v>
      </c>
      <c r="B36" s="157"/>
      <c r="C36" s="157"/>
      <c r="D36" s="157"/>
      <c r="E36" s="157"/>
      <c r="F36" s="157"/>
      <c r="G36" s="124"/>
      <c r="H36" s="124"/>
      <c r="I36" s="124"/>
      <c r="J36" s="124"/>
    </row>
    <row r="37" spans="1:10" x14ac:dyDescent="0.25">
      <c r="A37" s="157" t="s">
        <v>156</v>
      </c>
      <c r="B37" s="157"/>
      <c r="C37" s="157"/>
      <c r="D37" s="157"/>
      <c r="E37" s="157"/>
      <c r="F37" s="157"/>
      <c r="G37" s="124"/>
      <c r="H37" s="124"/>
      <c r="I37" s="124"/>
      <c r="J37" s="124"/>
    </row>
  </sheetData>
  <mergeCells count="6">
    <mergeCell ref="A37:F37"/>
    <mergeCell ref="A2:F2"/>
    <mergeCell ref="A14:F14"/>
    <mergeCell ref="A34:F34"/>
    <mergeCell ref="A35:F35"/>
    <mergeCell ref="A36:F36"/>
  </mergeCells>
  <phoneticPr fontId="11" type="noConversion"/>
  <pageMargins left="0.7" right="0.7" top="0.75" bottom="0.75" header="0.3" footer="0.3"/>
  <pageSetup paperSize="9" scale="8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00C4-0923-4828-8CCA-365EDBB6FE22}">
  <sheetPr>
    <pageSetUpPr fitToPage="1"/>
  </sheetPr>
  <dimension ref="A1:H83"/>
  <sheetViews>
    <sheetView topLeftCell="A27" workbookViewId="0">
      <selection activeCell="H51" sqref="H51"/>
    </sheetView>
  </sheetViews>
  <sheetFormatPr defaultRowHeight="15" x14ac:dyDescent="0.25"/>
  <cols>
    <col min="1" max="1" width="6.5703125" style="15" customWidth="1"/>
    <col min="2" max="2" width="50.7109375" style="15" customWidth="1"/>
    <col min="3" max="3" width="12"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184</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134747.2758916094</v>
      </c>
      <c r="F7" s="23">
        <f>SUM(F8,F9,F14,F15,F16,F17,F20,F21,F22,F23,F28)</f>
        <v>148168.10457041371</v>
      </c>
    </row>
    <row r="8" spans="1:6" ht="15.75" thickBot="1" x14ac:dyDescent="0.3">
      <c r="A8" s="25" t="s">
        <v>42</v>
      </c>
      <c r="B8" s="98" t="s">
        <v>43</v>
      </c>
      <c r="C8" s="99"/>
      <c r="D8" s="26" t="s">
        <v>41</v>
      </c>
      <c r="E8" s="27">
        <v>48974.420962170792</v>
      </c>
      <c r="F8" s="33">
        <f>E8*$C$46</f>
        <v>53852.273290003002</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5400</v>
      </c>
      <c r="F14" s="33">
        <f t="shared" si="0"/>
        <v>5937.8399999999992</v>
      </c>
    </row>
    <row r="15" spans="1:6" x14ac:dyDescent="0.25">
      <c r="A15" s="41" t="s">
        <v>56</v>
      </c>
      <c r="B15" s="113" t="s">
        <v>57</v>
      </c>
      <c r="C15" s="114"/>
      <c r="D15" s="42" t="s">
        <v>41</v>
      </c>
      <c r="E15" s="43">
        <v>18795.462264435479</v>
      </c>
      <c r="F15" s="33">
        <f t="shared" si="0"/>
        <v>20667.49030597325</v>
      </c>
    </row>
    <row r="16" spans="1:6" ht="15.75" thickBot="1" x14ac:dyDescent="0.3">
      <c r="A16" s="25" t="s">
        <v>58</v>
      </c>
      <c r="B16" s="98" t="s">
        <v>59</v>
      </c>
      <c r="C16" s="99"/>
      <c r="D16" s="26" t="s">
        <v>41</v>
      </c>
      <c r="E16" s="27">
        <v>223.51800000000006</v>
      </c>
      <c r="F16" s="33">
        <f t="shared" si="0"/>
        <v>245.78039280000004</v>
      </c>
    </row>
    <row r="17" spans="1:6" x14ac:dyDescent="0.25">
      <c r="A17" s="28" t="s">
        <v>60</v>
      </c>
      <c r="B17" s="100" t="s">
        <v>61</v>
      </c>
      <c r="C17" s="101"/>
      <c r="D17" s="29" t="s">
        <v>41</v>
      </c>
      <c r="E17" s="30">
        <v>6750</v>
      </c>
      <c r="F17" s="30">
        <f>SUM(F18:F19)</f>
        <v>7422.2999999999993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6750</v>
      </c>
      <c r="F19" s="33">
        <f>E19*$C$46</f>
        <v>7422.2999999999993</v>
      </c>
    </row>
    <row r="20" spans="1:6" ht="30.75" customHeight="1" x14ac:dyDescent="0.25">
      <c r="A20" s="38" t="s">
        <v>66</v>
      </c>
      <c r="B20" s="96" t="s">
        <v>67</v>
      </c>
      <c r="C20" s="97"/>
      <c r="D20" s="39" t="s">
        <v>41</v>
      </c>
      <c r="E20" s="40">
        <v>1518.5665336525669</v>
      </c>
      <c r="F20" s="33">
        <f>E20*$C$46</f>
        <v>1669.8157604043624</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28637.933131350561</v>
      </c>
      <c r="F23" s="30">
        <f>SUM(F24:F27)</f>
        <v>31490.271271233076</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21414.589429992968</v>
      </c>
      <c r="F25" s="33">
        <f>E25*$C$46</f>
        <v>23547.482537220265</v>
      </c>
    </row>
    <row r="26" spans="1:6" s="34" customFormat="1" ht="12.75" x14ac:dyDescent="0.25">
      <c r="A26" s="31" t="s">
        <v>78</v>
      </c>
      <c r="B26" s="92" t="s">
        <v>79</v>
      </c>
      <c r="C26" s="93"/>
      <c r="D26" s="32" t="s">
        <v>41</v>
      </c>
      <c r="E26" s="33">
        <v>7223.3437013575949</v>
      </c>
      <c r="F26" s="33">
        <f>E26*$C$46</f>
        <v>7942.7887340128109</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24447.375</v>
      </c>
      <c r="F28" s="33">
        <f>E28*$C$46</f>
        <v>26882.333549999999</v>
      </c>
    </row>
    <row r="29" spans="1:6" s="24" customFormat="1" ht="14.25" x14ac:dyDescent="0.25">
      <c r="A29" s="21" t="s">
        <v>84</v>
      </c>
      <c r="B29" s="111" t="s">
        <v>85</v>
      </c>
      <c r="C29" s="112"/>
      <c r="D29" s="22" t="s">
        <v>41</v>
      </c>
      <c r="E29" s="23">
        <v>49048.306440000008</v>
      </c>
      <c r="F29" s="23">
        <f>SUM(F30:F33)</f>
        <v>53933.517761424009</v>
      </c>
    </row>
    <row r="30" spans="1:6" x14ac:dyDescent="0.25">
      <c r="A30" s="41" t="s">
        <v>86</v>
      </c>
      <c r="B30" s="113" t="s">
        <v>87</v>
      </c>
      <c r="C30" s="114"/>
      <c r="D30" s="42" t="s">
        <v>41</v>
      </c>
      <c r="E30" s="43">
        <v>47037.26400000001</v>
      </c>
      <c r="F30" s="33">
        <f>E30*$C$46</f>
        <v>51722.175494400006</v>
      </c>
    </row>
    <row r="31" spans="1:6" x14ac:dyDescent="0.25">
      <c r="A31" s="41" t="s">
        <v>88</v>
      </c>
      <c r="B31" s="47" t="s">
        <v>89</v>
      </c>
      <c r="C31" s="48">
        <v>2.2499999999999999E-2</v>
      </c>
      <c r="D31" s="42" t="s">
        <v>41</v>
      </c>
      <c r="E31" s="43">
        <v>1058.3384400000002</v>
      </c>
      <c r="F31" s="43">
        <f>F30*C31</f>
        <v>1163.7489486240001</v>
      </c>
    </row>
    <row r="32" spans="1:6" x14ac:dyDescent="0.25">
      <c r="A32" s="41" t="s">
        <v>90</v>
      </c>
      <c r="B32" s="113" t="s">
        <v>91</v>
      </c>
      <c r="C32" s="114"/>
      <c r="D32" s="42" t="s">
        <v>41</v>
      </c>
      <c r="E32" s="43">
        <v>952.70399999999995</v>
      </c>
      <c r="F32" s="33">
        <f>E32*$C$46</f>
        <v>1047.5933183999998</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183795.58233160942</v>
      </c>
      <c r="F34" s="23">
        <f>SUM(F7,F29)</f>
        <v>202101.62233183772</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183795.58233160942</v>
      </c>
      <c r="F36" s="43">
        <f>F34+F35</f>
        <v>202101.62233183772</v>
      </c>
    </row>
    <row r="37" spans="1:8" x14ac:dyDescent="0.25">
      <c r="A37" s="41" t="s">
        <v>100</v>
      </c>
      <c r="B37" s="47" t="s">
        <v>101</v>
      </c>
      <c r="C37" s="48">
        <f>'t16'!C37</f>
        <v>1E-3</v>
      </c>
      <c r="D37" s="42" t="s">
        <v>41</v>
      </c>
      <c r="E37" s="43">
        <v>183.79558233160941</v>
      </c>
      <c r="F37" s="43">
        <f>C54</f>
        <v>202.10162233183769</v>
      </c>
    </row>
    <row r="38" spans="1:8" x14ac:dyDescent="0.25">
      <c r="A38" s="49" t="s">
        <v>102</v>
      </c>
      <c r="B38" s="50" t="s">
        <v>103</v>
      </c>
      <c r="C38" s="61">
        <f>F38/F39</f>
        <v>7.853959327692157E-3</v>
      </c>
      <c r="D38" s="5" t="s">
        <v>41</v>
      </c>
      <c r="E38" s="51">
        <v>183979.37791394102</v>
      </c>
      <c r="F38" s="51">
        <f>F36+F37</f>
        <v>202303.72395416955</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3.4477394894738651E-3</v>
      </c>
      <c r="F41" s="62">
        <f>F38/F40</f>
        <v>3.7911343426254621E-3</v>
      </c>
    </row>
    <row r="42" spans="1:8" x14ac:dyDescent="0.25">
      <c r="B42" s="3" t="s">
        <v>191</v>
      </c>
    </row>
    <row r="46" spans="1:8" x14ac:dyDescent="0.25">
      <c r="B46" s="74" t="s">
        <v>127</v>
      </c>
      <c r="C46" s="75">
        <v>1.0995999999999999</v>
      </c>
    </row>
    <row r="47" spans="1:8" x14ac:dyDescent="0.25">
      <c r="B47" s="76" t="s">
        <v>128</v>
      </c>
      <c r="C47" s="77">
        <f>E34</f>
        <v>183795.58233160942</v>
      </c>
    </row>
    <row r="48" spans="1:8" x14ac:dyDescent="0.25">
      <c r="B48" s="76" t="s">
        <v>129</v>
      </c>
      <c r="C48" s="77">
        <f>C47*C46</f>
        <v>202101.62233183769</v>
      </c>
    </row>
    <row r="49" spans="2:6" x14ac:dyDescent="0.25">
      <c r="B49" s="76" t="s">
        <v>130</v>
      </c>
      <c r="C49" s="77">
        <f>E35</f>
        <v>0</v>
      </c>
    </row>
    <row r="50" spans="2:6" x14ac:dyDescent="0.25">
      <c r="B50" s="76" t="s">
        <v>131</v>
      </c>
      <c r="C50" s="77">
        <f>C49</f>
        <v>0</v>
      </c>
    </row>
    <row r="51" spans="2:6" x14ac:dyDescent="0.25">
      <c r="B51" s="76" t="s">
        <v>132</v>
      </c>
      <c r="C51" s="77">
        <f>C48+C50</f>
        <v>202101.62233183769</v>
      </c>
    </row>
    <row r="52" spans="2:6" x14ac:dyDescent="0.25">
      <c r="B52" s="76" t="s">
        <v>133</v>
      </c>
      <c r="C52" s="75">
        <f>C37</f>
        <v>1E-3</v>
      </c>
    </row>
    <row r="53" spans="2:6" x14ac:dyDescent="0.25">
      <c r="B53" s="76" t="s">
        <v>134</v>
      </c>
      <c r="C53" s="75">
        <f>C52</f>
        <v>1E-3</v>
      </c>
    </row>
    <row r="54" spans="2:6" x14ac:dyDescent="0.25">
      <c r="B54" s="76" t="s">
        <v>135</v>
      </c>
      <c r="C54" s="77">
        <f>C51*C53</f>
        <v>202.10162233183769</v>
      </c>
    </row>
    <row r="55" spans="2:6" x14ac:dyDescent="0.25">
      <c r="B55" s="76" t="s">
        <v>136</v>
      </c>
      <c r="C55" s="77">
        <f>C51+C54</f>
        <v>202303.72395416952</v>
      </c>
    </row>
    <row r="56" spans="2:6" x14ac:dyDescent="0.25">
      <c r="B56" s="76" t="s">
        <v>137</v>
      </c>
      <c r="C56" s="77">
        <f>E40</f>
        <v>53362320</v>
      </c>
    </row>
    <row r="57" spans="2:6" x14ac:dyDescent="0.25">
      <c r="B57" s="76" t="s">
        <v>138</v>
      </c>
      <c r="C57" s="77">
        <f>C56</f>
        <v>53362320</v>
      </c>
    </row>
    <row r="58" spans="2:6" x14ac:dyDescent="0.25">
      <c r="B58" s="74" t="s">
        <v>139</v>
      </c>
      <c r="C58" s="82">
        <f>C55/(C57)</f>
        <v>3.7911343426254617E-3</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17" top="0.75" bottom="0.75" header="0.3" footer="0.3"/>
  <pageSetup paperSize="9" scale="8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E2A2-B058-427E-866F-4B9DC7C96129}">
  <sheetPr>
    <pageSetUpPr fitToPage="1"/>
  </sheetPr>
  <dimension ref="A1:H83"/>
  <sheetViews>
    <sheetView topLeftCell="A5" workbookViewId="0">
      <selection activeCell="E46" sqref="E46"/>
    </sheetView>
  </sheetViews>
  <sheetFormatPr defaultRowHeight="15" x14ac:dyDescent="0.25"/>
  <cols>
    <col min="1" max="1" width="6.5703125" style="15" customWidth="1"/>
    <col min="2" max="2" width="50.7109375" style="15" customWidth="1"/>
    <col min="3" max="3" width="12"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185</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369019.65337864385</v>
      </c>
      <c r="F7" s="23">
        <f>SUM(F8,F9,F14,F15,F16,F17,F20,F21,F22,F23,F28)</f>
        <v>405774.01085515675</v>
      </c>
    </row>
    <row r="8" spans="1:6" ht="15.75" thickBot="1" x14ac:dyDescent="0.3">
      <c r="A8" s="25" t="s">
        <v>42</v>
      </c>
      <c r="B8" s="98" t="s">
        <v>43</v>
      </c>
      <c r="C8" s="99"/>
      <c r="D8" s="26" t="s">
        <v>41</v>
      </c>
      <c r="E8" s="27">
        <v>60573.625926895453</v>
      </c>
      <c r="F8" s="33">
        <f>E8*$C$46</f>
        <v>66606.75906921424</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7200</v>
      </c>
      <c r="F14" s="33">
        <f t="shared" si="0"/>
        <v>7917.119999999999</v>
      </c>
    </row>
    <row r="15" spans="1:6" x14ac:dyDescent="0.25">
      <c r="A15" s="41" t="s">
        <v>56</v>
      </c>
      <c r="B15" s="113" t="s">
        <v>57</v>
      </c>
      <c r="C15" s="114"/>
      <c r="D15" s="42" t="s">
        <v>41</v>
      </c>
      <c r="E15" s="43">
        <v>200742.94273541373</v>
      </c>
      <c r="F15" s="33">
        <f t="shared" si="0"/>
        <v>220736.93983186092</v>
      </c>
    </row>
    <row r="16" spans="1:6" ht="15.75" thickBot="1" x14ac:dyDescent="0.3">
      <c r="A16" s="25" t="s">
        <v>58</v>
      </c>
      <c r="B16" s="98" t="s">
        <v>59</v>
      </c>
      <c r="C16" s="99"/>
      <c r="D16" s="26" t="s">
        <v>41</v>
      </c>
      <c r="E16" s="27">
        <v>322.23845000000006</v>
      </c>
      <c r="F16" s="33">
        <f t="shared" si="0"/>
        <v>354.33339962000002</v>
      </c>
    </row>
    <row r="17" spans="1:6" x14ac:dyDescent="0.25">
      <c r="A17" s="28" t="s">
        <v>60</v>
      </c>
      <c r="B17" s="100" t="s">
        <v>61</v>
      </c>
      <c r="C17" s="101"/>
      <c r="D17" s="29" t="s">
        <v>41</v>
      </c>
      <c r="E17" s="30">
        <v>9000</v>
      </c>
      <c r="F17" s="30">
        <f>SUM(F18:F19)</f>
        <v>9896.4</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9000</v>
      </c>
      <c r="F19" s="33">
        <f>E19*$C$46</f>
        <v>9896.4</v>
      </c>
    </row>
    <row r="20" spans="1:6" ht="30.75" customHeight="1" x14ac:dyDescent="0.25">
      <c r="A20" s="38" t="s">
        <v>66</v>
      </c>
      <c r="B20" s="96" t="s">
        <v>67</v>
      </c>
      <c r="C20" s="97"/>
      <c r="D20" s="39" t="s">
        <v>41</v>
      </c>
      <c r="E20" s="40">
        <v>1878.2270284650169</v>
      </c>
      <c r="F20" s="33">
        <f>E20*$C$46</f>
        <v>2065.2984405001325</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88318.619237869643</v>
      </c>
      <c r="F23" s="30">
        <f>SUM(F24:F27)</f>
        <v>97115.153713961452</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66053.721124015778</v>
      </c>
      <c r="F25" s="33">
        <f>E25*$C$46</f>
        <v>72632.671747967746</v>
      </c>
    </row>
    <row r="26" spans="1:6" s="34" customFormat="1" ht="12.75" x14ac:dyDescent="0.25">
      <c r="A26" s="31" t="s">
        <v>78</v>
      </c>
      <c r="B26" s="92" t="s">
        <v>79</v>
      </c>
      <c r="C26" s="93"/>
      <c r="D26" s="32" t="s">
        <v>41</v>
      </c>
      <c r="E26" s="33">
        <v>22264.898113853869</v>
      </c>
      <c r="F26" s="33">
        <f>E26*$C$46</f>
        <v>24482.481965993713</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984.00000000000011</v>
      </c>
      <c r="F28" s="33">
        <f>E28*$C$46</f>
        <v>1082.0064</v>
      </c>
    </row>
    <row r="29" spans="1:6" s="24" customFormat="1" ht="14.25" x14ac:dyDescent="0.25">
      <c r="A29" s="21" t="s">
        <v>84</v>
      </c>
      <c r="B29" s="111" t="s">
        <v>85</v>
      </c>
      <c r="C29" s="112"/>
      <c r="D29" s="22" t="s">
        <v>41</v>
      </c>
      <c r="E29" s="23">
        <v>70780.914780000006</v>
      </c>
      <c r="F29" s="23">
        <f>SUM(F30:F33)</f>
        <v>77830.693892087991</v>
      </c>
    </row>
    <row r="30" spans="1:6" x14ac:dyDescent="0.25">
      <c r="A30" s="41" t="s">
        <v>86</v>
      </c>
      <c r="B30" s="113" t="s">
        <v>87</v>
      </c>
      <c r="C30" s="114"/>
      <c r="D30" s="42" t="s">
        <v>41</v>
      </c>
      <c r="E30" s="43">
        <v>67878.168000000005</v>
      </c>
      <c r="F30" s="33">
        <f>E30*$C$46</f>
        <v>74638.833532799996</v>
      </c>
    </row>
    <row r="31" spans="1:6" x14ac:dyDescent="0.25">
      <c r="A31" s="41" t="s">
        <v>88</v>
      </c>
      <c r="B31" s="47" t="s">
        <v>89</v>
      </c>
      <c r="C31" s="48">
        <v>2.2499999999999999E-2</v>
      </c>
      <c r="D31" s="42" t="s">
        <v>41</v>
      </c>
      <c r="E31" s="43">
        <v>1527.2587800000001</v>
      </c>
      <c r="F31" s="43">
        <f>F30*C31</f>
        <v>1679.3737544879998</v>
      </c>
    </row>
    <row r="32" spans="1:6" x14ac:dyDescent="0.25">
      <c r="A32" s="41" t="s">
        <v>90</v>
      </c>
      <c r="B32" s="113" t="s">
        <v>91</v>
      </c>
      <c r="C32" s="114"/>
      <c r="D32" s="42" t="s">
        <v>41</v>
      </c>
      <c r="E32" s="43">
        <v>1375.4879999999998</v>
      </c>
      <c r="F32" s="33">
        <f>E32*$C$46</f>
        <v>1512.4866047999997</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439800.56815864384</v>
      </c>
      <c r="F34" s="23">
        <f>SUM(F7,F29)</f>
        <v>483604.70474724472</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439800.56815864384</v>
      </c>
      <c r="F36" s="43">
        <f>F34+F35</f>
        <v>483604.70474724472</v>
      </c>
    </row>
    <row r="37" spans="1:8" x14ac:dyDescent="0.25">
      <c r="A37" s="41" t="s">
        <v>100</v>
      </c>
      <c r="B37" s="47" t="s">
        <v>101</v>
      </c>
      <c r="C37" s="48">
        <f>'t17'!C37</f>
        <v>1E-3</v>
      </c>
      <c r="D37" s="42" t="s">
        <v>41</v>
      </c>
      <c r="E37" s="43">
        <v>439.80056815864384</v>
      </c>
      <c r="F37" s="43">
        <f>C54</f>
        <v>483.60470474724474</v>
      </c>
    </row>
    <row r="38" spans="1:8" x14ac:dyDescent="0.25">
      <c r="A38" s="49" t="s">
        <v>102</v>
      </c>
      <c r="B38" s="50" t="s">
        <v>103</v>
      </c>
      <c r="C38" s="61">
        <f>F38/F39</f>
        <v>1.8793573440637788E-2</v>
      </c>
      <c r="D38" s="5" t="s">
        <v>41</v>
      </c>
      <c r="E38" s="51">
        <v>440240.36872680247</v>
      </c>
      <c r="F38" s="51">
        <f>F36+F37</f>
        <v>484088.30945199198</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8.2500230261128536E-3</v>
      </c>
      <c r="F41" s="62">
        <f>F38/F40</f>
        <v>9.0717253195136942E-3</v>
      </c>
    </row>
    <row r="42" spans="1:8" x14ac:dyDescent="0.25">
      <c r="B42" s="3" t="s">
        <v>191</v>
      </c>
    </row>
    <row r="46" spans="1:8" x14ac:dyDescent="0.25">
      <c r="B46" s="74" t="s">
        <v>127</v>
      </c>
      <c r="C46" s="75">
        <v>1.0995999999999999</v>
      </c>
    </row>
    <row r="47" spans="1:8" x14ac:dyDescent="0.25">
      <c r="B47" s="76" t="s">
        <v>128</v>
      </c>
      <c r="C47" s="77">
        <f>E34</f>
        <v>439800.56815864384</v>
      </c>
    </row>
    <row r="48" spans="1:8" x14ac:dyDescent="0.25">
      <c r="B48" s="76" t="s">
        <v>129</v>
      </c>
      <c r="C48" s="77">
        <f>C47*C46</f>
        <v>483604.70474724472</v>
      </c>
    </row>
    <row r="49" spans="2:6" x14ac:dyDescent="0.25">
      <c r="B49" s="76" t="s">
        <v>130</v>
      </c>
      <c r="C49" s="77">
        <f>E35</f>
        <v>0</v>
      </c>
    </row>
    <row r="50" spans="2:6" x14ac:dyDescent="0.25">
      <c r="B50" s="76" t="s">
        <v>131</v>
      </c>
      <c r="C50" s="77">
        <f>C49</f>
        <v>0</v>
      </c>
    </row>
    <row r="51" spans="2:6" x14ac:dyDescent="0.25">
      <c r="B51" s="76" t="s">
        <v>132</v>
      </c>
      <c r="C51" s="77">
        <f>C48+C50</f>
        <v>483604.70474724472</v>
      </c>
    </row>
    <row r="52" spans="2:6" x14ac:dyDescent="0.25">
      <c r="B52" s="76" t="s">
        <v>133</v>
      </c>
      <c r="C52" s="75">
        <f>C37</f>
        <v>1E-3</v>
      </c>
    </row>
    <row r="53" spans="2:6" x14ac:dyDescent="0.25">
      <c r="B53" s="76" t="s">
        <v>134</v>
      </c>
      <c r="C53" s="75">
        <f>C52</f>
        <v>1E-3</v>
      </c>
    </row>
    <row r="54" spans="2:6" x14ac:dyDescent="0.25">
      <c r="B54" s="76" t="s">
        <v>135</v>
      </c>
      <c r="C54" s="77">
        <f>C51*C53</f>
        <v>483.60470474724474</v>
      </c>
    </row>
    <row r="55" spans="2:6" x14ac:dyDescent="0.25">
      <c r="B55" s="76" t="s">
        <v>136</v>
      </c>
      <c r="C55" s="77">
        <f>C51+C54</f>
        <v>484088.30945199198</v>
      </c>
    </row>
    <row r="56" spans="2:6" x14ac:dyDescent="0.25">
      <c r="B56" s="76" t="s">
        <v>137</v>
      </c>
      <c r="C56" s="77">
        <f>E40</f>
        <v>53362320</v>
      </c>
    </row>
    <row r="57" spans="2:6" x14ac:dyDescent="0.25">
      <c r="B57" s="76" t="s">
        <v>138</v>
      </c>
      <c r="C57" s="77">
        <f>C56</f>
        <v>53362320</v>
      </c>
    </row>
    <row r="58" spans="2:6" x14ac:dyDescent="0.25">
      <c r="B58" s="74" t="s">
        <v>139</v>
      </c>
      <c r="C58" s="82">
        <f>C55/(C57)</f>
        <v>9.0717253195136942E-3</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5" top="0.75" bottom="0.75" header="0.3" footer="0.3"/>
  <pageSetup paperSize="9" scale="83"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F5074-0856-49B4-9BAA-1A18ED2E9207}">
  <sheetPr>
    <pageSetUpPr fitToPage="1"/>
  </sheetPr>
  <dimension ref="A1:H83"/>
  <sheetViews>
    <sheetView topLeftCell="A5" workbookViewId="0">
      <selection activeCell="E47" sqref="E47"/>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186</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121293.15638657263</v>
      </c>
      <c r="F7" s="23">
        <f>SUM(F8,F9,F14,F15,F16,F17,F20,F21,F22,F23,F28)</f>
        <v>133373.95476267528</v>
      </c>
    </row>
    <row r="8" spans="1:6" ht="15.75" thickBot="1" x14ac:dyDescent="0.3">
      <c r="A8" s="25" t="s">
        <v>42</v>
      </c>
      <c r="B8" s="98" t="s">
        <v>43</v>
      </c>
      <c r="C8" s="99"/>
      <c r="D8" s="26" t="s">
        <v>41</v>
      </c>
      <c r="E8" s="27">
        <v>48974.420962170792</v>
      </c>
      <c r="F8" s="33">
        <f>E8*$C$46</f>
        <v>53852.273290003002</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5400</v>
      </c>
      <c r="F14" s="33">
        <f t="shared" si="0"/>
        <v>5937.8399999999992</v>
      </c>
    </row>
    <row r="15" spans="1:6" x14ac:dyDescent="0.25">
      <c r="A15" s="41" t="s">
        <v>56</v>
      </c>
      <c r="B15" s="113" t="s">
        <v>57</v>
      </c>
      <c r="C15" s="114"/>
      <c r="D15" s="42" t="s">
        <v>41</v>
      </c>
      <c r="E15" s="43">
        <v>28757.057264586278</v>
      </c>
      <c r="F15" s="33">
        <f t="shared" si="0"/>
        <v>31621.26016813907</v>
      </c>
    </row>
    <row r="16" spans="1:6" ht="15.75" thickBot="1" x14ac:dyDescent="0.3">
      <c r="A16" s="25" t="s">
        <v>58</v>
      </c>
      <c r="B16" s="98" t="s">
        <v>59</v>
      </c>
      <c r="C16" s="99"/>
      <c r="D16" s="26" t="s">
        <v>41</v>
      </c>
      <c r="E16" s="27">
        <v>223.51800000000006</v>
      </c>
      <c r="F16" s="33">
        <f t="shared" si="0"/>
        <v>245.78039280000004</v>
      </c>
    </row>
    <row r="17" spans="1:6" x14ac:dyDescent="0.25">
      <c r="A17" s="28" t="s">
        <v>60</v>
      </c>
      <c r="B17" s="100" t="s">
        <v>61</v>
      </c>
      <c r="C17" s="101"/>
      <c r="D17" s="29" t="s">
        <v>41</v>
      </c>
      <c r="E17" s="30">
        <v>6750</v>
      </c>
      <c r="F17" s="30">
        <f>SUM(F18:F19)</f>
        <v>7422.2999999999993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6750</v>
      </c>
      <c r="F19" s="33">
        <f>E19*$C$46</f>
        <v>7422.2999999999993</v>
      </c>
    </row>
    <row r="20" spans="1:6" ht="30.75" customHeight="1" x14ac:dyDescent="0.25">
      <c r="A20" s="38" t="s">
        <v>66</v>
      </c>
      <c r="B20" s="96" t="s">
        <v>67</v>
      </c>
      <c r="C20" s="97"/>
      <c r="D20" s="39" t="s">
        <v>41</v>
      </c>
      <c r="E20" s="40">
        <v>1878.2270284650169</v>
      </c>
      <c r="F20" s="33">
        <f>E20*$C$46</f>
        <v>2065.2984405001325</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28637.933131350561</v>
      </c>
      <c r="F23" s="30">
        <f>SUM(F24:F27)</f>
        <v>31490.271271233076</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21414.589429992968</v>
      </c>
      <c r="F25" s="33">
        <f>E25*$C$46</f>
        <v>23547.482537220265</v>
      </c>
    </row>
    <row r="26" spans="1:6" s="34" customFormat="1" ht="12.75" x14ac:dyDescent="0.25">
      <c r="A26" s="31" t="s">
        <v>78</v>
      </c>
      <c r="B26" s="92" t="s">
        <v>79</v>
      </c>
      <c r="C26" s="93"/>
      <c r="D26" s="32" t="s">
        <v>41</v>
      </c>
      <c r="E26" s="33">
        <v>7223.3437013575949</v>
      </c>
      <c r="F26" s="33">
        <f>E26*$C$46</f>
        <v>7942.7887340128109</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672</v>
      </c>
      <c r="F28" s="33">
        <f>E28*$C$46</f>
        <v>738.93119999999999</v>
      </c>
    </row>
    <row r="29" spans="1:6" s="24" customFormat="1" ht="14.25" x14ac:dyDescent="0.25">
      <c r="A29" s="21" t="s">
        <v>84</v>
      </c>
      <c r="B29" s="111" t="s">
        <v>85</v>
      </c>
      <c r="C29" s="112"/>
      <c r="D29" s="22" t="s">
        <v>41</v>
      </c>
      <c r="E29" s="23">
        <v>49048.306440000008</v>
      </c>
      <c r="F29" s="23">
        <f>SUM(F30:F33)</f>
        <v>53933.517761424009</v>
      </c>
    </row>
    <row r="30" spans="1:6" x14ac:dyDescent="0.25">
      <c r="A30" s="41" t="s">
        <v>86</v>
      </c>
      <c r="B30" s="113" t="s">
        <v>87</v>
      </c>
      <c r="C30" s="114"/>
      <c r="D30" s="42" t="s">
        <v>41</v>
      </c>
      <c r="E30" s="43">
        <v>47037.26400000001</v>
      </c>
      <c r="F30" s="33">
        <f>E30*$C$46</f>
        <v>51722.175494400006</v>
      </c>
    </row>
    <row r="31" spans="1:6" x14ac:dyDescent="0.25">
      <c r="A31" s="41" t="s">
        <v>88</v>
      </c>
      <c r="B31" s="47" t="s">
        <v>89</v>
      </c>
      <c r="C31" s="48">
        <v>2.2499999999999999E-2</v>
      </c>
      <c r="D31" s="42" t="s">
        <v>41</v>
      </c>
      <c r="E31" s="43">
        <v>1058.3384400000002</v>
      </c>
      <c r="F31" s="43">
        <f>F30*C31</f>
        <v>1163.7489486240001</v>
      </c>
    </row>
    <row r="32" spans="1:6" x14ac:dyDescent="0.25">
      <c r="A32" s="41" t="s">
        <v>90</v>
      </c>
      <c r="B32" s="113" t="s">
        <v>91</v>
      </c>
      <c r="C32" s="114"/>
      <c r="D32" s="42" t="s">
        <v>41</v>
      </c>
      <c r="E32" s="43">
        <v>952.70399999999995</v>
      </c>
      <c r="F32" s="33">
        <f>E32*$C$46</f>
        <v>1047.5933183999998</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170341.46282657265</v>
      </c>
      <c r="F34" s="23">
        <f>SUM(F7,F29)</f>
        <v>187307.47252409928</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170341.46282657265</v>
      </c>
      <c r="F36" s="43">
        <f>F34+F35</f>
        <v>187307.47252409928</v>
      </c>
    </row>
    <row r="37" spans="1:8" x14ac:dyDescent="0.25">
      <c r="A37" s="41" t="s">
        <v>100</v>
      </c>
      <c r="B37" s="47" t="s">
        <v>101</v>
      </c>
      <c r="C37" s="48">
        <f>'t18'!C37</f>
        <v>1E-3</v>
      </c>
      <c r="D37" s="42" t="s">
        <v>41</v>
      </c>
      <c r="E37" s="43">
        <v>170.34146282657267</v>
      </c>
      <c r="F37" s="43">
        <f>C54</f>
        <v>187.3074725240993</v>
      </c>
    </row>
    <row r="38" spans="1:8" x14ac:dyDescent="0.25">
      <c r="A38" s="49" t="s">
        <v>102</v>
      </c>
      <c r="B38" s="50" t="s">
        <v>103</v>
      </c>
      <c r="C38" s="61">
        <f>F38/F39</f>
        <v>7.2790374169368751E-3</v>
      </c>
      <c r="D38" s="5" t="s">
        <v>41</v>
      </c>
      <c r="E38" s="51">
        <v>170511.80428939921</v>
      </c>
      <c r="F38" s="51">
        <f>F36+F37</f>
        <v>187494.77999662337</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7644320</v>
      </c>
      <c r="F40" s="57">
        <f>C57</f>
        <v>7644320</v>
      </c>
    </row>
    <row r="41" spans="1:8" s="24" customFormat="1" x14ac:dyDescent="0.25">
      <c r="A41" s="58" t="s">
        <v>107</v>
      </c>
      <c r="B41" s="120" t="s">
        <v>108</v>
      </c>
      <c r="C41" s="121"/>
      <c r="D41" s="59" t="s">
        <v>118</v>
      </c>
      <c r="E41" s="62">
        <v>2.2305686351356199E-2</v>
      </c>
      <c r="F41" s="62">
        <f>F38/F40</f>
        <v>2.4527332711951275E-2</v>
      </c>
    </row>
    <row r="42" spans="1:8" x14ac:dyDescent="0.25">
      <c r="B42" s="3" t="s">
        <v>191</v>
      </c>
    </row>
    <row r="46" spans="1:8" x14ac:dyDescent="0.25">
      <c r="B46" s="74" t="s">
        <v>127</v>
      </c>
      <c r="C46" s="75">
        <v>1.0995999999999999</v>
      </c>
    </row>
    <row r="47" spans="1:8" x14ac:dyDescent="0.25">
      <c r="B47" s="76" t="s">
        <v>128</v>
      </c>
      <c r="C47" s="77">
        <f>E34</f>
        <v>170341.46282657265</v>
      </c>
    </row>
    <row r="48" spans="1:8" x14ac:dyDescent="0.25">
      <c r="B48" s="76" t="s">
        <v>129</v>
      </c>
      <c r="C48" s="77">
        <f>C47*C46</f>
        <v>187307.47252409928</v>
      </c>
    </row>
    <row r="49" spans="2:6" x14ac:dyDescent="0.25">
      <c r="B49" s="76" t="s">
        <v>130</v>
      </c>
      <c r="C49" s="77">
        <f>E35</f>
        <v>0</v>
      </c>
    </row>
    <row r="50" spans="2:6" x14ac:dyDescent="0.25">
      <c r="B50" s="76" t="s">
        <v>131</v>
      </c>
      <c r="C50" s="77">
        <f>C49</f>
        <v>0</v>
      </c>
    </row>
    <row r="51" spans="2:6" x14ac:dyDescent="0.25">
      <c r="B51" s="76" t="s">
        <v>132</v>
      </c>
      <c r="C51" s="77">
        <f>C48+C50</f>
        <v>187307.47252409928</v>
      </c>
    </row>
    <row r="52" spans="2:6" x14ac:dyDescent="0.25">
      <c r="B52" s="76" t="s">
        <v>133</v>
      </c>
      <c r="C52" s="75">
        <f>C37</f>
        <v>1E-3</v>
      </c>
    </row>
    <row r="53" spans="2:6" x14ac:dyDescent="0.25">
      <c r="B53" s="76" t="s">
        <v>134</v>
      </c>
      <c r="C53" s="75">
        <f>C52</f>
        <v>1E-3</v>
      </c>
    </row>
    <row r="54" spans="2:6" x14ac:dyDescent="0.25">
      <c r="B54" s="76" t="s">
        <v>135</v>
      </c>
      <c r="C54" s="77">
        <f>C51*C53</f>
        <v>187.3074725240993</v>
      </c>
    </row>
    <row r="55" spans="2:6" x14ac:dyDescent="0.25">
      <c r="B55" s="76" t="s">
        <v>136</v>
      </c>
      <c r="C55" s="77">
        <f>C51+C54</f>
        <v>187494.77999662337</v>
      </c>
    </row>
    <row r="56" spans="2:6" x14ac:dyDescent="0.25">
      <c r="B56" s="76" t="s">
        <v>137</v>
      </c>
      <c r="C56" s="77">
        <f>E40</f>
        <v>7644320</v>
      </c>
    </row>
    <row r="57" spans="2:6" x14ac:dyDescent="0.25">
      <c r="B57" s="76" t="s">
        <v>138</v>
      </c>
      <c r="C57" s="77">
        <f>C56</f>
        <v>7644320</v>
      </c>
    </row>
    <row r="58" spans="2:6" x14ac:dyDescent="0.25">
      <c r="B58" s="74" t="s">
        <v>139</v>
      </c>
      <c r="C58" s="82">
        <f>C55/(C57)</f>
        <v>2.4527332711951275E-2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7" top="0.75" bottom="0.75" header="0.3" footer="0.3"/>
  <pageSetup paperSize="9" scale="83"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0389-7A4D-412F-B492-3EC46BAD2335}">
  <sheetPr>
    <pageSetUpPr fitToPage="1"/>
  </sheetPr>
  <dimension ref="A1:H83"/>
  <sheetViews>
    <sheetView topLeftCell="A5" workbookViewId="0">
      <selection activeCell="E47" sqref="E47"/>
    </sheetView>
  </sheetViews>
  <sheetFormatPr defaultRowHeight="15" x14ac:dyDescent="0.25"/>
  <cols>
    <col min="1" max="1" width="6.5703125" style="15" customWidth="1"/>
    <col min="2" max="2" width="50.7109375" style="15" customWidth="1"/>
    <col min="3" max="3" width="12.28515625"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187</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882137.84732397576</v>
      </c>
      <c r="F7" s="23">
        <f>SUM(F8,F9,F14,F15,F16,F17,F20,F21,F22,F23,F28)</f>
        <v>969998.77691744373</v>
      </c>
    </row>
    <row r="8" spans="1:6" ht="15.75" thickBot="1" x14ac:dyDescent="0.3">
      <c r="A8" s="25" t="s">
        <v>42</v>
      </c>
      <c r="B8" s="98" t="s">
        <v>43</v>
      </c>
      <c r="C8" s="99"/>
      <c r="D8" s="26" t="s">
        <v>41</v>
      </c>
      <c r="E8" s="27">
        <v>69595.229788347962</v>
      </c>
      <c r="F8" s="33">
        <f>E8*$C$46</f>
        <v>76526.914675267413</v>
      </c>
    </row>
    <row r="9" spans="1:6" x14ac:dyDescent="0.25">
      <c r="A9" s="28" t="s">
        <v>44</v>
      </c>
      <c r="B9" s="100" t="s">
        <v>45</v>
      </c>
      <c r="C9" s="101"/>
      <c r="D9" s="29" t="s">
        <v>41</v>
      </c>
      <c r="E9" s="30">
        <v>13706.22</v>
      </c>
      <c r="F9" s="30">
        <f>SUM(F10:F13)</f>
        <v>15071.359511999997</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13706.22</v>
      </c>
      <c r="F12" s="33">
        <f t="shared" si="0"/>
        <v>15071.359511999997</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7200</v>
      </c>
      <c r="F14" s="33">
        <f t="shared" si="0"/>
        <v>7917.119999999999</v>
      </c>
    </row>
    <row r="15" spans="1:6" x14ac:dyDescent="0.25">
      <c r="A15" s="41" t="s">
        <v>56</v>
      </c>
      <c r="B15" s="113" t="s">
        <v>57</v>
      </c>
      <c r="C15" s="114"/>
      <c r="D15" s="42" t="s">
        <v>41</v>
      </c>
      <c r="E15" s="43">
        <v>692369.53773556452</v>
      </c>
      <c r="F15" s="33">
        <f t="shared" si="0"/>
        <v>761329.54369402665</v>
      </c>
    </row>
    <row r="16" spans="1:6" ht="15.75" thickBot="1" x14ac:dyDescent="0.3">
      <c r="A16" s="25" t="s">
        <v>58</v>
      </c>
      <c r="B16" s="98" t="s">
        <v>59</v>
      </c>
      <c r="C16" s="99"/>
      <c r="D16" s="26" t="s">
        <v>41</v>
      </c>
      <c r="E16" s="27">
        <v>322.23845000000006</v>
      </c>
      <c r="F16" s="33">
        <f t="shared" si="0"/>
        <v>354.33339962000002</v>
      </c>
    </row>
    <row r="17" spans="1:6" x14ac:dyDescent="0.25">
      <c r="A17" s="28" t="s">
        <v>60</v>
      </c>
      <c r="B17" s="100" t="s">
        <v>61</v>
      </c>
      <c r="C17" s="101"/>
      <c r="D17" s="29" t="s">
        <v>41</v>
      </c>
      <c r="E17" s="30">
        <v>9000</v>
      </c>
      <c r="F17" s="30">
        <f>SUM(F18:F19)</f>
        <v>9896.4</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9000</v>
      </c>
      <c r="F19" s="33">
        <f>E19*$C$46</f>
        <v>9896.4</v>
      </c>
    </row>
    <row r="20" spans="1:6" ht="30.75" customHeight="1" x14ac:dyDescent="0.25">
      <c r="A20" s="38" t="s">
        <v>66</v>
      </c>
      <c r="B20" s="96" t="s">
        <v>67</v>
      </c>
      <c r="C20" s="97"/>
      <c r="D20" s="39" t="s">
        <v>41</v>
      </c>
      <c r="E20" s="40">
        <v>1518.5665336525669</v>
      </c>
      <c r="F20" s="33">
        <f>E20*$C$46</f>
        <v>1669.8157604043624</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87442.054816410789</v>
      </c>
      <c r="F23" s="30">
        <f>SUM(F24:F27)</f>
        <v>96151.283476125303</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65050.953066356604</v>
      </c>
      <c r="F25" s="33">
        <f>E25*$C$46</f>
        <v>71530.027991765717</v>
      </c>
    </row>
    <row r="26" spans="1:6" s="34" customFormat="1" ht="12.75" x14ac:dyDescent="0.25">
      <c r="A26" s="31" t="s">
        <v>78</v>
      </c>
      <c r="B26" s="92" t="s">
        <v>79</v>
      </c>
      <c r="C26" s="93"/>
      <c r="D26" s="32" t="s">
        <v>41</v>
      </c>
      <c r="E26" s="33">
        <v>22391.101750054193</v>
      </c>
      <c r="F26" s="33">
        <f>E26*$C$46</f>
        <v>24621.25548435959</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984.00000000000011</v>
      </c>
      <c r="F28" s="33">
        <f>E28*$C$46</f>
        <v>1082.0064</v>
      </c>
    </row>
    <row r="29" spans="1:6" s="24" customFormat="1" ht="14.25" x14ac:dyDescent="0.25">
      <c r="A29" s="21" t="s">
        <v>84</v>
      </c>
      <c r="B29" s="111" t="s">
        <v>85</v>
      </c>
      <c r="C29" s="112"/>
      <c r="D29" s="22" t="s">
        <v>41</v>
      </c>
      <c r="E29" s="23">
        <v>70780.914780000006</v>
      </c>
      <c r="F29" s="23">
        <f>SUM(F30:F33)</f>
        <v>77830.693892087991</v>
      </c>
    </row>
    <row r="30" spans="1:6" x14ac:dyDescent="0.25">
      <c r="A30" s="41" t="s">
        <v>86</v>
      </c>
      <c r="B30" s="113" t="s">
        <v>87</v>
      </c>
      <c r="C30" s="114"/>
      <c r="D30" s="42" t="s">
        <v>41</v>
      </c>
      <c r="E30" s="43">
        <v>67878.168000000005</v>
      </c>
      <c r="F30" s="33">
        <f>E30*$C$46</f>
        <v>74638.833532799996</v>
      </c>
    </row>
    <row r="31" spans="1:6" x14ac:dyDescent="0.25">
      <c r="A31" s="41" t="s">
        <v>88</v>
      </c>
      <c r="B31" s="47" t="s">
        <v>89</v>
      </c>
      <c r="C31" s="48">
        <v>2.2499999999999999E-2</v>
      </c>
      <c r="D31" s="42" t="s">
        <v>41</v>
      </c>
      <c r="E31" s="43">
        <v>1527.2587800000001</v>
      </c>
      <c r="F31" s="43">
        <f>F30*C31</f>
        <v>1679.3737544879998</v>
      </c>
    </row>
    <row r="32" spans="1:6" x14ac:dyDescent="0.25">
      <c r="A32" s="41" t="s">
        <v>90</v>
      </c>
      <c r="B32" s="113" t="s">
        <v>91</v>
      </c>
      <c r="C32" s="114"/>
      <c r="D32" s="42" t="s">
        <v>41</v>
      </c>
      <c r="E32" s="43">
        <v>1375.4879999999998</v>
      </c>
      <c r="F32" s="33">
        <f>E32*$C$46</f>
        <v>1512.4866047999997</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952918.76210397575</v>
      </c>
      <c r="F34" s="23">
        <f>SUM(F7,F29)</f>
        <v>1047829.4708095317</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952918.76210397575</v>
      </c>
      <c r="F36" s="43">
        <f>F34+F35</f>
        <v>1047829.4708095317</v>
      </c>
    </row>
    <row r="37" spans="1:8" x14ac:dyDescent="0.25">
      <c r="A37" s="41" t="s">
        <v>100</v>
      </c>
      <c r="B37" s="47" t="s">
        <v>101</v>
      </c>
      <c r="C37" s="48">
        <f>'t19'!C37</f>
        <v>1E-3</v>
      </c>
      <c r="D37" s="42" t="s">
        <v>41</v>
      </c>
      <c r="E37" s="43">
        <v>952.91876210397572</v>
      </c>
      <c r="F37" s="43">
        <f>C54</f>
        <v>1047.8294708095316</v>
      </c>
    </row>
    <row r="38" spans="1:8" x14ac:dyDescent="0.25">
      <c r="A38" s="49" t="s">
        <v>102</v>
      </c>
      <c r="B38" s="50" t="s">
        <v>103</v>
      </c>
      <c r="C38" s="61">
        <f>F38/F39</f>
        <v>4.0720158260693091E-2</v>
      </c>
      <c r="D38" s="5" t="s">
        <v>41</v>
      </c>
      <c r="E38" s="51">
        <v>953871.68086607975</v>
      </c>
      <c r="F38" s="51">
        <f>F36+F37</f>
        <v>1048877.3002803412</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1.7875378747889518E-2</v>
      </c>
      <c r="F41" s="62">
        <f>F38/F40</f>
        <v>1.9655766471179312E-2</v>
      </c>
    </row>
    <row r="42" spans="1:8" x14ac:dyDescent="0.25">
      <c r="B42" s="3" t="s">
        <v>191</v>
      </c>
    </row>
    <row r="46" spans="1:8" x14ac:dyDescent="0.25">
      <c r="B46" s="74" t="s">
        <v>127</v>
      </c>
      <c r="C46" s="75">
        <v>1.0995999999999999</v>
      </c>
    </row>
    <row r="47" spans="1:8" x14ac:dyDescent="0.25">
      <c r="B47" s="76" t="s">
        <v>128</v>
      </c>
      <c r="C47" s="77">
        <f>E34</f>
        <v>952918.76210397575</v>
      </c>
    </row>
    <row r="48" spans="1:8" x14ac:dyDescent="0.25">
      <c r="B48" s="76" t="s">
        <v>129</v>
      </c>
      <c r="C48" s="77">
        <f>C47*C46</f>
        <v>1047829.4708095316</v>
      </c>
    </row>
    <row r="49" spans="2:6" x14ac:dyDescent="0.25">
      <c r="B49" s="76" t="s">
        <v>130</v>
      </c>
      <c r="C49" s="77">
        <f>E35</f>
        <v>0</v>
      </c>
    </row>
    <row r="50" spans="2:6" x14ac:dyDescent="0.25">
      <c r="B50" s="76" t="s">
        <v>131</v>
      </c>
      <c r="C50" s="77">
        <f>C49</f>
        <v>0</v>
      </c>
    </row>
    <row r="51" spans="2:6" x14ac:dyDescent="0.25">
      <c r="B51" s="76" t="s">
        <v>132</v>
      </c>
      <c r="C51" s="77">
        <f>C48+C50</f>
        <v>1047829.4708095316</v>
      </c>
    </row>
    <row r="52" spans="2:6" x14ac:dyDescent="0.25">
      <c r="B52" s="76" t="s">
        <v>133</v>
      </c>
      <c r="C52" s="75">
        <f>C37</f>
        <v>1E-3</v>
      </c>
    </row>
    <row r="53" spans="2:6" x14ac:dyDescent="0.25">
      <c r="B53" s="76" t="s">
        <v>134</v>
      </c>
      <c r="C53" s="75">
        <f>C52</f>
        <v>1E-3</v>
      </c>
    </row>
    <row r="54" spans="2:6" x14ac:dyDescent="0.25">
      <c r="B54" s="76" t="s">
        <v>135</v>
      </c>
      <c r="C54" s="77">
        <f>C51*C53</f>
        <v>1047.8294708095316</v>
      </c>
    </row>
    <row r="55" spans="2:6" x14ac:dyDescent="0.25">
      <c r="B55" s="76" t="s">
        <v>136</v>
      </c>
      <c r="C55" s="77">
        <f>C51+C54</f>
        <v>1048877.3002803412</v>
      </c>
    </row>
    <row r="56" spans="2:6" x14ac:dyDescent="0.25">
      <c r="B56" s="76" t="s">
        <v>137</v>
      </c>
      <c r="C56" s="77">
        <f>E40</f>
        <v>53362320</v>
      </c>
    </row>
    <row r="57" spans="2:6" x14ac:dyDescent="0.25">
      <c r="B57" s="76" t="s">
        <v>138</v>
      </c>
      <c r="C57" s="77">
        <f>C56</f>
        <v>53362320</v>
      </c>
    </row>
    <row r="58" spans="2:6" x14ac:dyDescent="0.25">
      <c r="B58" s="74" t="s">
        <v>139</v>
      </c>
      <c r="C58" s="82">
        <f>C55/(C57)</f>
        <v>1.9655766471179312E-2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8000000000000003" top="0.75" bottom="0.75" header="0.3" footer="0.3"/>
  <pageSetup paperSize="9" scale="83"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CCA7-AC9A-4A3B-8DA4-F8A1533D14F6}">
  <sheetPr>
    <pageSetUpPr fitToPage="1"/>
  </sheetPr>
  <dimension ref="A1:H83"/>
  <sheetViews>
    <sheetView topLeftCell="A5" workbookViewId="0">
      <selection activeCell="I19" sqref="I19"/>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188</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192547.96399349821</v>
      </c>
      <c r="F7" s="23">
        <f>SUM(F8,F9,F14,F15,F16,F17,F20,F21,F22,F23,F28)</f>
        <v>211725.74120725057</v>
      </c>
    </row>
    <row r="8" spans="1:6" ht="15.75" thickBot="1" x14ac:dyDescent="0.3">
      <c r="A8" s="25" t="s">
        <v>42</v>
      </c>
      <c r="B8" s="98" t="s">
        <v>43</v>
      </c>
      <c r="C8" s="99"/>
      <c r="D8" s="26" t="s">
        <v>41</v>
      </c>
      <c r="E8" s="27">
        <v>48974.420962170792</v>
      </c>
      <c r="F8" s="33">
        <f>E8*$C$46</f>
        <v>53852.273290003002</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5400</v>
      </c>
      <c r="F14" s="33">
        <f t="shared" si="0"/>
        <v>5937.8399999999992</v>
      </c>
    </row>
    <row r="15" spans="1:6" x14ac:dyDescent="0.25">
      <c r="A15" s="41" t="s">
        <v>56</v>
      </c>
      <c r="B15" s="113" t="s">
        <v>57</v>
      </c>
      <c r="C15" s="114"/>
      <c r="D15" s="42" t="s">
        <v>41</v>
      </c>
      <c r="E15" s="43">
        <v>99345.462264435482</v>
      </c>
      <c r="F15" s="33">
        <f t="shared" si="0"/>
        <v>109240.27030597324</v>
      </c>
    </row>
    <row r="16" spans="1:6" ht="15.75" thickBot="1" x14ac:dyDescent="0.3">
      <c r="A16" s="25" t="s">
        <v>58</v>
      </c>
      <c r="B16" s="98" t="s">
        <v>59</v>
      </c>
      <c r="C16" s="99"/>
      <c r="D16" s="26" t="s">
        <v>41</v>
      </c>
      <c r="E16" s="27">
        <v>223.51800000000006</v>
      </c>
      <c r="F16" s="33">
        <f t="shared" si="0"/>
        <v>245.78039280000004</v>
      </c>
    </row>
    <row r="17" spans="1:6" x14ac:dyDescent="0.25">
      <c r="A17" s="28" t="s">
        <v>60</v>
      </c>
      <c r="B17" s="100" t="s">
        <v>61</v>
      </c>
      <c r="C17" s="101"/>
      <c r="D17" s="29" t="s">
        <v>41</v>
      </c>
      <c r="E17" s="30">
        <v>6750</v>
      </c>
      <c r="F17" s="30">
        <f>SUM(F18:F19)</f>
        <v>7422.2999999999993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6750</v>
      </c>
      <c r="F19" s="33">
        <f>E19*$C$46</f>
        <v>7422.2999999999993</v>
      </c>
    </row>
    <row r="20" spans="1:6" ht="30.75" customHeight="1" x14ac:dyDescent="0.25">
      <c r="A20" s="38" t="s">
        <v>66</v>
      </c>
      <c r="B20" s="96" t="s">
        <v>67</v>
      </c>
      <c r="C20" s="97"/>
      <c r="D20" s="39" t="s">
        <v>41</v>
      </c>
      <c r="E20" s="40">
        <v>2544.6296355413665</v>
      </c>
      <c r="F20" s="33">
        <f>E20*$C$46</f>
        <v>2798.0747472412863</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28637.933131350561</v>
      </c>
      <c r="F23" s="30">
        <f>SUM(F24:F27)</f>
        <v>31490.271271233076</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21414.589429992968</v>
      </c>
      <c r="F25" s="33">
        <f>E25*$C$46</f>
        <v>23547.482537220265</v>
      </c>
    </row>
    <row r="26" spans="1:6" s="34" customFormat="1" ht="12.75" x14ac:dyDescent="0.25">
      <c r="A26" s="31" t="s">
        <v>78</v>
      </c>
      <c r="B26" s="92" t="s">
        <v>79</v>
      </c>
      <c r="C26" s="93"/>
      <c r="D26" s="32" t="s">
        <v>41</v>
      </c>
      <c r="E26" s="33">
        <v>7223.3437013575949</v>
      </c>
      <c r="F26" s="33">
        <f>E26*$C$46</f>
        <v>7942.7887340128109</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672</v>
      </c>
      <c r="F28" s="33">
        <f>E28*$C$46</f>
        <v>738.93119999999999</v>
      </c>
    </row>
    <row r="29" spans="1:6" s="24" customFormat="1" ht="14.25" x14ac:dyDescent="0.25">
      <c r="A29" s="21" t="s">
        <v>84</v>
      </c>
      <c r="B29" s="111" t="s">
        <v>85</v>
      </c>
      <c r="C29" s="112"/>
      <c r="D29" s="22" t="s">
        <v>41</v>
      </c>
      <c r="E29" s="23">
        <v>49048.306440000008</v>
      </c>
      <c r="F29" s="23">
        <f>SUM(F30:F33)</f>
        <v>53933.517761424009</v>
      </c>
    </row>
    <row r="30" spans="1:6" x14ac:dyDescent="0.25">
      <c r="A30" s="41" t="s">
        <v>86</v>
      </c>
      <c r="B30" s="113" t="s">
        <v>87</v>
      </c>
      <c r="C30" s="114"/>
      <c r="D30" s="42" t="s">
        <v>41</v>
      </c>
      <c r="E30" s="43">
        <v>47037.26400000001</v>
      </c>
      <c r="F30" s="33">
        <f>E30*$C$46</f>
        <v>51722.175494400006</v>
      </c>
    </row>
    <row r="31" spans="1:6" x14ac:dyDescent="0.25">
      <c r="A31" s="41" t="s">
        <v>88</v>
      </c>
      <c r="B31" s="47" t="s">
        <v>89</v>
      </c>
      <c r="C31" s="48">
        <v>2.2499999999999999E-2</v>
      </c>
      <c r="D31" s="42" t="s">
        <v>41</v>
      </c>
      <c r="E31" s="43">
        <v>1058.3384400000002</v>
      </c>
      <c r="F31" s="43">
        <f>F30*C31</f>
        <v>1163.7489486240001</v>
      </c>
    </row>
    <row r="32" spans="1:6" x14ac:dyDescent="0.25">
      <c r="A32" s="41" t="s">
        <v>90</v>
      </c>
      <c r="B32" s="113" t="s">
        <v>91</v>
      </c>
      <c r="C32" s="114"/>
      <c r="D32" s="42" t="s">
        <v>41</v>
      </c>
      <c r="E32" s="43">
        <v>952.70399999999995</v>
      </c>
      <c r="F32" s="33">
        <f>E32*$C$46</f>
        <v>1047.5933183999998</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241596.27043349823</v>
      </c>
      <c r="F34" s="23">
        <f>SUM(F7,F29)</f>
        <v>265659.25896867458</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241596.27043349823</v>
      </c>
      <c r="F36" s="43">
        <f>F34+F35</f>
        <v>265659.25896867458</v>
      </c>
    </row>
    <row r="37" spans="1:8" x14ac:dyDescent="0.25">
      <c r="A37" s="41" t="s">
        <v>100</v>
      </c>
      <c r="B37" s="47" t="s">
        <v>101</v>
      </c>
      <c r="C37" s="48">
        <f>'t20'!C37</f>
        <v>1E-3</v>
      </c>
      <c r="D37" s="42" t="s">
        <v>41</v>
      </c>
      <c r="E37" s="43">
        <v>241.59627043349823</v>
      </c>
      <c r="F37" s="43">
        <f>C54</f>
        <v>265.65925896867464</v>
      </c>
    </row>
    <row r="38" spans="1:8" x14ac:dyDescent="0.25">
      <c r="A38" s="49" t="s">
        <v>102</v>
      </c>
      <c r="B38" s="50" t="s">
        <v>103</v>
      </c>
      <c r="C38" s="61">
        <f>F38/F39</f>
        <v>1.0323900376905181E-2</v>
      </c>
      <c r="D38" s="5" t="s">
        <v>41</v>
      </c>
      <c r="E38" s="51">
        <v>241837.86670393174</v>
      </c>
      <c r="F38" s="51">
        <f>F36+F37</f>
        <v>265924.91822764324</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7644320</v>
      </c>
      <c r="F40" s="57">
        <f>C57</f>
        <v>7644320</v>
      </c>
    </row>
    <row r="41" spans="1:8" s="24" customFormat="1" x14ac:dyDescent="0.25">
      <c r="A41" s="58" t="s">
        <v>107</v>
      </c>
      <c r="B41" s="120" t="s">
        <v>108</v>
      </c>
      <c r="C41" s="121"/>
      <c r="D41" s="59" t="s">
        <v>118</v>
      </c>
      <c r="E41" s="62">
        <v>3.1636282455984537E-2</v>
      </c>
      <c r="F41" s="62">
        <f>F38/F40</f>
        <v>3.4787256188600589E-2</v>
      </c>
    </row>
    <row r="42" spans="1:8" x14ac:dyDescent="0.25">
      <c r="B42" s="3" t="s">
        <v>191</v>
      </c>
    </row>
    <row r="46" spans="1:8" x14ac:dyDescent="0.25">
      <c r="B46" s="74" t="s">
        <v>127</v>
      </c>
      <c r="C46" s="75">
        <v>1.0995999999999999</v>
      </c>
    </row>
    <row r="47" spans="1:8" x14ac:dyDescent="0.25">
      <c r="B47" s="76" t="s">
        <v>128</v>
      </c>
      <c r="C47" s="77">
        <f>E34</f>
        <v>241596.27043349823</v>
      </c>
    </row>
    <row r="48" spans="1:8" x14ac:dyDescent="0.25">
      <c r="B48" s="76" t="s">
        <v>129</v>
      </c>
      <c r="C48" s="77">
        <f>C47*C46</f>
        <v>265659.25896867464</v>
      </c>
    </row>
    <row r="49" spans="2:6" x14ac:dyDescent="0.25">
      <c r="B49" s="76" t="s">
        <v>130</v>
      </c>
      <c r="C49" s="77">
        <f>E35</f>
        <v>0</v>
      </c>
    </row>
    <row r="50" spans="2:6" x14ac:dyDescent="0.25">
      <c r="B50" s="76" t="s">
        <v>131</v>
      </c>
      <c r="C50" s="77">
        <f>C49</f>
        <v>0</v>
      </c>
    </row>
    <row r="51" spans="2:6" x14ac:dyDescent="0.25">
      <c r="B51" s="76" t="s">
        <v>132</v>
      </c>
      <c r="C51" s="77">
        <f>C48+C50</f>
        <v>265659.25896867464</v>
      </c>
    </row>
    <row r="52" spans="2:6" x14ac:dyDescent="0.25">
      <c r="B52" s="76" t="s">
        <v>133</v>
      </c>
      <c r="C52" s="75">
        <f>C37</f>
        <v>1E-3</v>
      </c>
    </row>
    <row r="53" spans="2:6" x14ac:dyDescent="0.25">
      <c r="B53" s="76" t="s">
        <v>134</v>
      </c>
      <c r="C53" s="75">
        <f>C52</f>
        <v>1E-3</v>
      </c>
    </row>
    <row r="54" spans="2:6" x14ac:dyDescent="0.25">
      <c r="B54" s="76" t="s">
        <v>135</v>
      </c>
      <c r="C54" s="77">
        <f>C51*C53</f>
        <v>265.65925896867464</v>
      </c>
    </row>
    <row r="55" spans="2:6" x14ac:dyDescent="0.25">
      <c r="B55" s="76" t="s">
        <v>136</v>
      </c>
      <c r="C55" s="77">
        <f>C51+C54</f>
        <v>265924.9182276433</v>
      </c>
    </row>
    <row r="56" spans="2:6" x14ac:dyDescent="0.25">
      <c r="B56" s="76" t="s">
        <v>137</v>
      </c>
      <c r="C56" s="77">
        <f>E40</f>
        <v>7644320</v>
      </c>
    </row>
    <row r="57" spans="2:6" x14ac:dyDescent="0.25">
      <c r="B57" s="76" t="s">
        <v>138</v>
      </c>
      <c r="C57" s="77">
        <f>C56</f>
        <v>7644320</v>
      </c>
    </row>
    <row r="58" spans="2:6" x14ac:dyDescent="0.25">
      <c r="B58" s="74" t="s">
        <v>139</v>
      </c>
      <c r="C58" s="82">
        <f>C55/(C57)</f>
        <v>3.4787256188600596E-2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19" top="0.75" bottom="0.75" header="0.3" footer="0.3"/>
  <pageSetup paperSize="9" scale="84"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9367-EBD7-48E7-9106-CF40DDD478A4}">
  <sheetPr>
    <pageSetUpPr fitToPage="1"/>
  </sheetPr>
  <dimension ref="A1:H83"/>
  <sheetViews>
    <sheetView topLeftCell="A6" workbookViewId="0">
      <selection activeCell="E27" sqref="E27"/>
    </sheetView>
  </sheetViews>
  <sheetFormatPr defaultRowHeight="15" x14ac:dyDescent="0.25"/>
  <cols>
    <col min="1" max="1" width="6.5703125" style="15" customWidth="1"/>
    <col min="2" max="2" width="50.7109375" style="15" customWidth="1"/>
    <col min="3" max="3" width="12.140625" style="15"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189</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1025585.6156560492</v>
      </c>
      <c r="F7" s="23">
        <f>SUM(F8,F9,F14,F15,F16,F17,F20,F21,F22,F23,F28)</f>
        <v>1127733.9429753916</v>
      </c>
    </row>
    <row r="8" spans="1:6" ht="15.75" thickBot="1" x14ac:dyDescent="0.3">
      <c r="A8" s="25" t="s">
        <v>42</v>
      </c>
      <c r="B8" s="98" t="s">
        <v>43</v>
      </c>
      <c r="C8" s="99"/>
      <c r="D8" s="26" t="s">
        <v>41</v>
      </c>
      <c r="E8" s="27">
        <v>69595.229788347962</v>
      </c>
      <c r="F8" s="33">
        <f>E8*$C$46</f>
        <v>76526.914675267413</v>
      </c>
    </row>
    <row r="9" spans="1:6" x14ac:dyDescent="0.25">
      <c r="A9" s="28" t="s">
        <v>44</v>
      </c>
      <c r="B9" s="100" t="s">
        <v>45</v>
      </c>
      <c r="C9" s="101"/>
      <c r="D9" s="29" t="s">
        <v>41</v>
      </c>
      <c r="E9" s="30">
        <v>15345.72</v>
      </c>
      <c r="F9" s="30">
        <f>SUM(F10:F13)</f>
        <v>16874.153711999999</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15345.72</v>
      </c>
      <c r="F12" s="33">
        <f t="shared" si="0"/>
        <v>16874.153711999999</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7200</v>
      </c>
      <c r="F14" s="33">
        <f t="shared" si="0"/>
        <v>7917.119999999999</v>
      </c>
    </row>
    <row r="15" spans="1:6" x14ac:dyDescent="0.25">
      <c r="A15" s="41" t="s">
        <v>56</v>
      </c>
      <c r="B15" s="113" t="s">
        <v>57</v>
      </c>
      <c r="C15" s="114"/>
      <c r="D15" s="42" t="s">
        <v>41</v>
      </c>
      <c r="E15" s="43">
        <v>833204.53773556452</v>
      </c>
      <c r="F15" s="33">
        <f t="shared" si="0"/>
        <v>916191.70969402662</v>
      </c>
    </row>
    <row r="16" spans="1:6" ht="15.75" thickBot="1" x14ac:dyDescent="0.3">
      <c r="A16" s="25" t="s">
        <v>58</v>
      </c>
      <c r="B16" s="98" t="s">
        <v>59</v>
      </c>
      <c r="C16" s="99"/>
      <c r="D16" s="26" t="s">
        <v>41</v>
      </c>
      <c r="E16" s="27">
        <v>322.23845000000006</v>
      </c>
      <c r="F16" s="33">
        <f t="shared" si="0"/>
        <v>354.33339962000002</v>
      </c>
    </row>
    <row r="17" spans="1:6" x14ac:dyDescent="0.25">
      <c r="A17" s="28" t="s">
        <v>60</v>
      </c>
      <c r="B17" s="100" t="s">
        <v>61</v>
      </c>
      <c r="C17" s="101"/>
      <c r="D17" s="29" t="s">
        <v>41</v>
      </c>
      <c r="E17" s="30">
        <v>9000</v>
      </c>
      <c r="F17" s="30">
        <f>SUM(F18:F19)</f>
        <v>9896.4</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9000</v>
      </c>
      <c r="F19" s="33">
        <f>E19*$C$46</f>
        <v>9896.4</v>
      </c>
    </row>
    <row r="20" spans="1:6" ht="30.75" customHeight="1" x14ac:dyDescent="0.25">
      <c r="A20" s="38" t="s">
        <v>66</v>
      </c>
      <c r="B20" s="96" t="s">
        <v>67</v>
      </c>
      <c r="C20" s="97"/>
      <c r="D20" s="39" t="s">
        <v>41</v>
      </c>
      <c r="E20" s="40">
        <v>1518.5665336525669</v>
      </c>
      <c r="F20" s="33">
        <f>E20*$C$46</f>
        <v>1669.8157604043624</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88415.323148484167</v>
      </c>
      <c r="F23" s="30">
        <f>SUM(F24:F27)</f>
        <v>97221.489334073194</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66053.721124015778</v>
      </c>
      <c r="F25" s="33">
        <f>E25*$C$46</f>
        <v>72632.671747967746</v>
      </c>
    </row>
    <row r="26" spans="1:6" s="34" customFormat="1" ht="12.75" x14ac:dyDescent="0.25">
      <c r="A26" s="31" t="s">
        <v>78</v>
      </c>
      <c r="B26" s="92" t="s">
        <v>79</v>
      </c>
      <c r="C26" s="93"/>
      <c r="D26" s="32" t="s">
        <v>41</v>
      </c>
      <c r="E26" s="33">
        <v>22361.602024468393</v>
      </c>
      <c r="F26" s="33">
        <f>E26*$C$46</f>
        <v>24588.817586105444</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984.00000000000011</v>
      </c>
      <c r="F28" s="33">
        <f>E28*$C$46</f>
        <v>1082.0064</v>
      </c>
    </row>
    <row r="29" spans="1:6" s="24" customFormat="1" ht="14.25" x14ac:dyDescent="0.25">
      <c r="A29" s="21" t="s">
        <v>84</v>
      </c>
      <c r="B29" s="111" t="s">
        <v>85</v>
      </c>
      <c r="C29" s="112"/>
      <c r="D29" s="22" t="s">
        <v>41</v>
      </c>
      <c r="E29" s="23">
        <v>70780.914780000006</v>
      </c>
      <c r="F29" s="23">
        <f>SUM(F30:F33)</f>
        <v>77830.693892087991</v>
      </c>
    </row>
    <row r="30" spans="1:6" x14ac:dyDescent="0.25">
      <c r="A30" s="41" t="s">
        <v>86</v>
      </c>
      <c r="B30" s="113" t="s">
        <v>87</v>
      </c>
      <c r="C30" s="114"/>
      <c r="D30" s="42" t="s">
        <v>41</v>
      </c>
      <c r="E30" s="43">
        <v>67878.168000000005</v>
      </c>
      <c r="F30" s="33">
        <f>E30*$C$46</f>
        <v>74638.833532799996</v>
      </c>
    </row>
    <row r="31" spans="1:6" x14ac:dyDescent="0.25">
      <c r="A31" s="41" t="s">
        <v>88</v>
      </c>
      <c r="B31" s="47" t="s">
        <v>89</v>
      </c>
      <c r="C31" s="48">
        <v>2.2499999999999999E-2</v>
      </c>
      <c r="D31" s="42" t="s">
        <v>41</v>
      </c>
      <c r="E31" s="43">
        <v>1527.2587800000001</v>
      </c>
      <c r="F31" s="43">
        <f>F30*C31</f>
        <v>1679.3737544879998</v>
      </c>
    </row>
    <row r="32" spans="1:6" x14ac:dyDescent="0.25">
      <c r="A32" s="41" t="s">
        <v>90</v>
      </c>
      <c r="B32" s="113" t="s">
        <v>91</v>
      </c>
      <c r="C32" s="114"/>
      <c r="D32" s="42" t="s">
        <v>41</v>
      </c>
      <c r="E32" s="43">
        <v>1375.4879999999998</v>
      </c>
      <c r="F32" s="33">
        <f>E32*$C$46</f>
        <v>1512.4866047999997</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1096366.5304360492</v>
      </c>
      <c r="F34" s="23">
        <f>SUM(F7,F29)</f>
        <v>1205564.6368674797</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1096366.5304360492</v>
      </c>
      <c r="F36" s="43">
        <f>F34+F35</f>
        <v>1205564.6368674797</v>
      </c>
    </row>
    <row r="37" spans="1:8" x14ac:dyDescent="0.25">
      <c r="A37" s="41" t="s">
        <v>100</v>
      </c>
      <c r="B37" s="47" t="s">
        <v>101</v>
      </c>
      <c r="C37" s="48">
        <f>'t21'!C37</f>
        <v>1E-3</v>
      </c>
      <c r="D37" s="42" t="s">
        <v>41</v>
      </c>
      <c r="E37" s="43">
        <v>1096.3665304360493</v>
      </c>
      <c r="F37" s="43">
        <f>C54</f>
        <v>1205.5646368674797</v>
      </c>
    </row>
    <row r="38" spans="1:8" x14ac:dyDescent="0.25">
      <c r="A38" s="49" t="s">
        <v>102</v>
      </c>
      <c r="B38" s="50" t="s">
        <v>103</v>
      </c>
      <c r="C38" s="61">
        <f>F38/F39</f>
        <v>4.6849973372873582E-2</v>
      </c>
      <c r="D38" s="5" t="s">
        <v>41</v>
      </c>
      <c r="E38" s="51">
        <v>1097462.8969664853</v>
      </c>
      <c r="F38" s="51">
        <f>F36+F37</f>
        <v>1206770.2015043471</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53362320</v>
      </c>
      <c r="F40" s="57">
        <f>C57</f>
        <v>53362320</v>
      </c>
    </row>
    <row r="41" spans="1:8" s="24" customFormat="1" x14ac:dyDescent="0.25">
      <c r="A41" s="58" t="s">
        <v>107</v>
      </c>
      <c r="B41" s="120" t="s">
        <v>108</v>
      </c>
      <c r="C41" s="121"/>
      <c r="D41" s="59" t="s">
        <v>118</v>
      </c>
      <c r="E41" s="62">
        <v>2.0566251560398523E-2</v>
      </c>
      <c r="F41" s="62">
        <f>F38/F40</f>
        <v>2.2614650215814214E-2</v>
      </c>
    </row>
    <row r="42" spans="1:8" x14ac:dyDescent="0.25">
      <c r="B42" s="3" t="s">
        <v>191</v>
      </c>
    </row>
    <row r="46" spans="1:8" x14ac:dyDescent="0.25">
      <c r="B46" s="74" t="s">
        <v>127</v>
      </c>
      <c r="C46" s="75">
        <v>1.0995999999999999</v>
      </c>
    </row>
    <row r="47" spans="1:8" x14ac:dyDescent="0.25">
      <c r="B47" s="76" t="s">
        <v>128</v>
      </c>
      <c r="C47" s="77">
        <f>E34</f>
        <v>1096366.5304360492</v>
      </c>
    </row>
    <row r="48" spans="1:8" x14ac:dyDescent="0.25">
      <c r="B48" s="76" t="s">
        <v>129</v>
      </c>
      <c r="C48" s="77">
        <f>C47*C46</f>
        <v>1205564.6368674797</v>
      </c>
    </row>
    <row r="49" spans="2:6" x14ac:dyDescent="0.25">
      <c r="B49" s="76" t="s">
        <v>130</v>
      </c>
      <c r="C49" s="77">
        <f>E35</f>
        <v>0</v>
      </c>
    </row>
    <row r="50" spans="2:6" x14ac:dyDescent="0.25">
      <c r="B50" s="76" t="s">
        <v>131</v>
      </c>
      <c r="C50" s="77">
        <f>C49</f>
        <v>0</v>
      </c>
    </row>
    <row r="51" spans="2:6" x14ac:dyDescent="0.25">
      <c r="B51" s="76" t="s">
        <v>132</v>
      </c>
      <c r="C51" s="77">
        <f>C48+C50</f>
        <v>1205564.6368674797</v>
      </c>
    </row>
    <row r="52" spans="2:6" x14ac:dyDescent="0.25">
      <c r="B52" s="76" t="s">
        <v>133</v>
      </c>
      <c r="C52" s="75">
        <f>C37</f>
        <v>1E-3</v>
      </c>
    </row>
    <row r="53" spans="2:6" x14ac:dyDescent="0.25">
      <c r="B53" s="76" t="s">
        <v>134</v>
      </c>
      <c r="C53" s="75">
        <f>C52</f>
        <v>1E-3</v>
      </c>
    </row>
    <row r="54" spans="2:6" x14ac:dyDescent="0.25">
      <c r="B54" s="76" t="s">
        <v>135</v>
      </c>
      <c r="C54" s="77">
        <f>C51*C53</f>
        <v>1205.5646368674797</v>
      </c>
    </row>
    <row r="55" spans="2:6" x14ac:dyDescent="0.25">
      <c r="B55" s="76" t="s">
        <v>136</v>
      </c>
      <c r="C55" s="77">
        <f>C51+C54</f>
        <v>1206770.2015043471</v>
      </c>
    </row>
    <row r="56" spans="2:6" x14ac:dyDescent="0.25">
      <c r="B56" s="76" t="s">
        <v>137</v>
      </c>
      <c r="C56" s="77">
        <f>E40</f>
        <v>53362320</v>
      </c>
    </row>
    <row r="57" spans="2:6" x14ac:dyDescent="0.25">
      <c r="B57" s="76" t="s">
        <v>138</v>
      </c>
      <c r="C57" s="77">
        <f>C56</f>
        <v>53362320</v>
      </c>
    </row>
    <row r="58" spans="2:6" x14ac:dyDescent="0.25">
      <c r="B58" s="74" t="s">
        <v>139</v>
      </c>
      <c r="C58" s="82">
        <f>C55/(C57)</f>
        <v>2.2614650215814214E-2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8999999999999998" top="0.75" bottom="0.75" header="0.3" footer="0.3"/>
  <pageSetup paperSize="9" scale="8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2DF8-9FDF-440C-9B4D-A2C4D6C0009F}">
  <sheetPr>
    <pageSetUpPr fitToPage="1"/>
  </sheetPr>
  <dimension ref="A1:H83"/>
  <sheetViews>
    <sheetView topLeftCell="A5" workbookViewId="0">
      <selection activeCell="M18" sqref="M18"/>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190</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211611.29732683153</v>
      </c>
      <c r="F7" s="23">
        <f>SUM(F8,F9,F14,F15,F16,F17,F20,F21,F22,F23,F28)</f>
        <v>232687.78254058392</v>
      </c>
    </row>
    <row r="8" spans="1:6" ht="15.75" thickBot="1" x14ac:dyDescent="0.3">
      <c r="A8" s="25" t="s">
        <v>42</v>
      </c>
      <c r="B8" s="98" t="s">
        <v>43</v>
      </c>
      <c r="C8" s="99"/>
      <c r="D8" s="26" t="s">
        <v>41</v>
      </c>
      <c r="E8" s="27">
        <v>48974.420962170792</v>
      </c>
      <c r="F8" s="33">
        <f>E8*$C$46</f>
        <v>53852.273290003002</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5400</v>
      </c>
      <c r="F14" s="33">
        <f t="shared" si="0"/>
        <v>5937.8399999999992</v>
      </c>
    </row>
    <row r="15" spans="1:6" x14ac:dyDescent="0.25">
      <c r="A15" s="41" t="s">
        <v>56</v>
      </c>
      <c r="B15" s="113" t="s">
        <v>57</v>
      </c>
      <c r="C15" s="114"/>
      <c r="D15" s="42" t="s">
        <v>41</v>
      </c>
      <c r="E15" s="43">
        <v>118795.46226443548</v>
      </c>
      <c r="F15" s="33">
        <f t="shared" si="0"/>
        <v>130627.49030597325</v>
      </c>
    </row>
    <row r="16" spans="1:6" ht="15.75" thickBot="1" x14ac:dyDescent="0.3">
      <c r="A16" s="25" t="s">
        <v>58</v>
      </c>
      <c r="B16" s="98" t="s">
        <v>59</v>
      </c>
      <c r="C16" s="99"/>
      <c r="D16" s="26" t="s">
        <v>41</v>
      </c>
      <c r="E16" s="27">
        <v>223.51800000000006</v>
      </c>
      <c r="F16" s="33">
        <f t="shared" si="0"/>
        <v>245.78039280000004</v>
      </c>
    </row>
    <row r="17" spans="1:6" x14ac:dyDescent="0.25">
      <c r="A17" s="28" t="s">
        <v>60</v>
      </c>
      <c r="B17" s="100" t="s">
        <v>61</v>
      </c>
      <c r="C17" s="101"/>
      <c r="D17" s="29" t="s">
        <v>41</v>
      </c>
      <c r="E17" s="30">
        <v>6750</v>
      </c>
      <c r="F17" s="30">
        <f>SUM(F18:F19)</f>
        <v>7422.2999999999993</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6750</v>
      </c>
      <c r="F19" s="33">
        <f>E19*$C$46</f>
        <v>7422.2999999999993</v>
      </c>
    </row>
    <row r="20" spans="1:6" ht="30.75" customHeight="1" x14ac:dyDescent="0.25">
      <c r="A20" s="38" t="s">
        <v>66</v>
      </c>
      <c r="B20" s="96" t="s">
        <v>67</v>
      </c>
      <c r="C20" s="97"/>
      <c r="D20" s="39" t="s">
        <v>41</v>
      </c>
      <c r="E20" s="40">
        <v>2157.9629688747</v>
      </c>
      <c r="F20" s="33">
        <f>E20*$C$46</f>
        <v>2372.8960805746201</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28637.933131350561</v>
      </c>
      <c r="F23" s="30">
        <f>SUM(F24:F27)</f>
        <v>31490.271271233076</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21414.589429992968</v>
      </c>
      <c r="F25" s="33">
        <f>E25*$C$46</f>
        <v>23547.482537220265</v>
      </c>
    </row>
    <row r="26" spans="1:6" s="34" customFormat="1" ht="12.75" x14ac:dyDescent="0.25">
      <c r="A26" s="31" t="s">
        <v>78</v>
      </c>
      <c r="B26" s="92" t="s">
        <v>79</v>
      </c>
      <c r="C26" s="93"/>
      <c r="D26" s="32" t="s">
        <v>41</v>
      </c>
      <c r="E26" s="33">
        <v>7223.3437013575949</v>
      </c>
      <c r="F26" s="33">
        <f>E26*$C$46</f>
        <v>7942.7887340128109</v>
      </c>
    </row>
    <row r="27" spans="1:6" s="34" customFormat="1" ht="13.5" thickBot="1" x14ac:dyDescent="0.3">
      <c r="A27" s="35" t="s">
        <v>80</v>
      </c>
      <c r="B27" s="94" t="s">
        <v>81</v>
      </c>
      <c r="C27" s="95"/>
      <c r="D27" s="36" t="s">
        <v>41</v>
      </c>
      <c r="E27" s="63">
        <v>0</v>
      </c>
      <c r="F27" s="33">
        <f>E27*$C$46</f>
        <v>0</v>
      </c>
    </row>
    <row r="28" spans="1:6" ht="31.5" customHeight="1" thickBot="1" x14ac:dyDescent="0.3">
      <c r="A28" s="44" t="s">
        <v>82</v>
      </c>
      <c r="B28" s="122" t="s">
        <v>83</v>
      </c>
      <c r="C28" s="123"/>
      <c r="D28" s="45" t="s">
        <v>41</v>
      </c>
      <c r="E28" s="46">
        <v>672</v>
      </c>
      <c r="F28" s="33">
        <f>E28*$C$46</f>
        <v>738.93119999999999</v>
      </c>
    </row>
    <row r="29" spans="1:6" s="24" customFormat="1" ht="14.25" x14ac:dyDescent="0.25">
      <c r="A29" s="21" t="s">
        <v>84</v>
      </c>
      <c r="B29" s="111" t="s">
        <v>85</v>
      </c>
      <c r="C29" s="112"/>
      <c r="D29" s="22" t="s">
        <v>41</v>
      </c>
      <c r="E29" s="23">
        <v>49048.306440000008</v>
      </c>
      <c r="F29" s="23">
        <f>SUM(F30:F33)</f>
        <v>53933.517761424009</v>
      </c>
    </row>
    <row r="30" spans="1:6" x14ac:dyDescent="0.25">
      <c r="A30" s="41" t="s">
        <v>86</v>
      </c>
      <c r="B30" s="113" t="s">
        <v>87</v>
      </c>
      <c r="C30" s="114"/>
      <c r="D30" s="42" t="s">
        <v>41</v>
      </c>
      <c r="E30" s="43">
        <v>47037.26400000001</v>
      </c>
      <c r="F30" s="33">
        <f>E30*$C$46</f>
        <v>51722.175494400006</v>
      </c>
    </row>
    <row r="31" spans="1:6" x14ac:dyDescent="0.25">
      <c r="A31" s="41" t="s">
        <v>88</v>
      </c>
      <c r="B31" s="47" t="s">
        <v>89</v>
      </c>
      <c r="C31" s="48">
        <v>2.2499999999999999E-2</v>
      </c>
      <c r="D31" s="42" t="s">
        <v>41</v>
      </c>
      <c r="E31" s="43">
        <v>1058.3384400000002</v>
      </c>
      <c r="F31" s="43">
        <f>F30*C31</f>
        <v>1163.7489486240001</v>
      </c>
    </row>
    <row r="32" spans="1:6" x14ac:dyDescent="0.25">
      <c r="A32" s="41" t="s">
        <v>90</v>
      </c>
      <c r="B32" s="113" t="s">
        <v>91</v>
      </c>
      <c r="C32" s="114"/>
      <c r="D32" s="42" t="s">
        <v>41</v>
      </c>
      <c r="E32" s="43">
        <v>952.70399999999995</v>
      </c>
      <c r="F32" s="33">
        <f>E32*$C$46</f>
        <v>1047.5933183999998</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260659.60376683154</v>
      </c>
      <c r="F34" s="23">
        <f>SUM(F7,F29)</f>
        <v>286621.30030200793</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260659.60376683154</v>
      </c>
      <c r="F36" s="43">
        <f>F34+F35</f>
        <v>286621.30030200793</v>
      </c>
    </row>
    <row r="37" spans="1:8" x14ac:dyDescent="0.25">
      <c r="A37" s="41" t="s">
        <v>100</v>
      </c>
      <c r="B37" s="47" t="s">
        <v>101</v>
      </c>
      <c r="C37" s="48">
        <f>'t22'!C37</f>
        <v>1E-3</v>
      </c>
      <c r="D37" s="42" t="s">
        <v>41</v>
      </c>
      <c r="E37" s="43">
        <v>260.65960376683154</v>
      </c>
      <c r="F37" s="43">
        <f>C54</f>
        <v>286.62130030200797</v>
      </c>
    </row>
    <row r="38" spans="1:8" x14ac:dyDescent="0.25">
      <c r="A38" s="49" t="s">
        <v>102</v>
      </c>
      <c r="B38" s="50" t="s">
        <v>103</v>
      </c>
      <c r="C38" s="61">
        <f>F38/F39</f>
        <v>1.113851541144994E-2</v>
      </c>
      <c r="D38" s="5" t="s">
        <v>41</v>
      </c>
      <c r="E38" s="51">
        <v>260920.26337059838</v>
      </c>
      <c r="F38" s="51">
        <f>F36+F37</f>
        <v>286907.92160230991</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117</v>
      </c>
      <c r="E40" s="57">
        <v>7644320</v>
      </c>
      <c r="F40" s="57">
        <f>C57</f>
        <v>7644320</v>
      </c>
    </row>
    <row r="41" spans="1:8" s="24" customFormat="1" x14ac:dyDescent="0.25">
      <c r="A41" s="58" t="s">
        <v>107</v>
      </c>
      <c r="B41" s="120" t="s">
        <v>108</v>
      </c>
      <c r="C41" s="121"/>
      <c r="D41" s="59" t="s">
        <v>118</v>
      </c>
      <c r="E41" s="62">
        <v>3.4132566843172236E-2</v>
      </c>
      <c r="F41" s="62">
        <f>F38/F40</f>
        <v>3.7532170500752179E-2</v>
      </c>
    </row>
    <row r="42" spans="1:8" x14ac:dyDescent="0.25">
      <c r="B42" s="3" t="s">
        <v>191</v>
      </c>
    </row>
    <row r="46" spans="1:8" x14ac:dyDescent="0.25">
      <c r="B46" s="74" t="s">
        <v>127</v>
      </c>
      <c r="C46" s="75">
        <v>1.0995999999999999</v>
      </c>
    </row>
    <row r="47" spans="1:8" x14ac:dyDescent="0.25">
      <c r="B47" s="76" t="s">
        <v>128</v>
      </c>
      <c r="C47" s="77">
        <f>E34</f>
        <v>260659.60376683154</v>
      </c>
    </row>
    <row r="48" spans="1:8" x14ac:dyDescent="0.25">
      <c r="B48" s="76" t="s">
        <v>129</v>
      </c>
      <c r="C48" s="77">
        <f>C47*C46</f>
        <v>286621.30030200793</v>
      </c>
    </row>
    <row r="49" spans="2:6" x14ac:dyDescent="0.25">
      <c r="B49" s="76" t="s">
        <v>130</v>
      </c>
      <c r="C49" s="77">
        <f>E35</f>
        <v>0</v>
      </c>
    </row>
    <row r="50" spans="2:6" x14ac:dyDescent="0.25">
      <c r="B50" s="76" t="s">
        <v>131</v>
      </c>
      <c r="C50" s="77">
        <f>C49</f>
        <v>0</v>
      </c>
    </row>
    <row r="51" spans="2:6" x14ac:dyDescent="0.25">
      <c r="B51" s="76" t="s">
        <v>132</v>
      </c>
      <c r="C51" s="77">
        <f>C48+C50</f>
        <v>286621.30030200793</v>
      </c>
    </row>
    <row r="52" spans="2:6" x14ac:dyDescent="0.25">
      <c r="B52" s="76" t="s">
        <v>133</v>
      </c>
      <c r="C52" s="75">
        <f>C37</f>
        <v>1E-3</v>
      </c>
    </row>
    <row r="53" spans="2:6" x14ac:dyDescent="0.25">
      <c r="B53" s="76" t="s">
        <v>134</v>
      </c>
      <c r="C53" s="75">
        <f>C52</f>
        <v>1E-3</v>
      </c>
    </row>
    <row r="54" spans="2:6" x14ac:dyDescent="0.25">
      <c r="B54" s="76" t="s">
        <v>135</v>
      </c>
      <c r="C54" s="77">
        <f>C51*C53</f>
        <v>286.62130030200797</v>
      </c>
    </row>
    <row r="55" spans="2:6" x14ac:dyDescent="0.25">
      <c r="B55" s="76" t="s">
        <v>136</v>
      </c>
      <c r="C55" s="77">
        <f>C51+C54</f>
        <v>286907.92160230991</v>
      </c>
    </row>
    <row r="56" spans="2:6" x14ac:dyDescent="0.25">
      <c r="B56" s="76" t="s">
        <v>137</v>
      </c>
      <c r="C56" s="77">
        <f>E40</f>
        <v>7644320</v>
      </c>
    </row>
    <row r="57" spans="2:6" x14ac:dyDescent="0.25">
      <c r="B57" s="76" t="s">
        <v>138</v>
      </c>
      <c r="C57" s="77">
        <f>C56</f>
        <v>7644320</v>
      </c>
    </row>
    <row r="58" spans="2:6" x14ac:dyDescent="0.25">
      <c r="B58" s="74" t="s">
        <v>139</v>
      </c>
      <c r="C58" s="82">
        <f>C55/(C57)</f>
        <v>3.7532170500752179E-2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14000000000000001"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D1122-6E45-4A42-8580-D69A22878D30}">
  <sheetPr>
    <pageSetUpPr fitToPage="1"/>
  </sheetPr>
  <dimension ref="A1:F83"/>
  <sheetViews>
    <sheetView topLeftCell="A5" workbookViewId="0">
      <selection activeCell="L46" sqref="L46"/>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166</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275253.2885745375</v>
      </c>
      <c r="F7" s="23">
        <f>SUM(F8,F9,F14,F15,F16,F17,F20,F21,F22,F23,F28)</f>
        <v>302668.51611656143</v>
      </c>
    </row>
    <row r="8" spans="1:6" ht="15.75" thickBot="1" x14ac:dyDescent="0.3">
      <c r="A8" s="25" t="s">
        <v>42</v>
      </c>
      <c r="B8" s="98" t="s">
        <v>43</v>
      </c>
      <c r="C8" s="99"/>
      <c r="D8" s="26" t="s">
        <v>41</v>
      </c>
      <c r="E8" s="27">
        <v>43155.307130657595</v>
      </c>
      <c r="F8" s="33">
        <f>E8*$C$46</f>
        <v>47453.575720871086</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3600</v>
      </c>
      <c r="F14" s="33">
        <f t="shared" si="0"/>
        <v>3958.5599999999995</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21684.971300000001</v>
      </c>
      <c r="F16" s="33">
        <f t="shared" si="0"/>
        <v>23844.79444148</v>
      </c>
    </row>
    <row r="17" spans="1:6" x14ac:dyDescent="0.25">
      <c r="A17" s="28" t="s">
        <v>60</v>
      </c>
      <c r="B17" s="100" t="s">
        <v>61</v>
      </c>
      <c r="C17" s="101"/>
      <c r="D17" s="29" t="s">
        <v>41</v>
      </c>
      <c r="E17" s="30">
        <v>6300</v>
      </c>
      <c r="F17" s="30">
        <f>SUM(F18:F19)</f>
        <v>6927.48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6300</v>
      </c>
      <c r="F19" s="33">
        <f>E19*$C$46</f>
        <v>6927.48</v>
      </c>
    </row>
    <row r="20" spans="1:6" ht="30.75" customHeight="1" x14ac:dyDescent="0.25">
      <c r="A20" s="38" t="s">
        <v>66</v>
      </c>
      <c r="B20" s="96" t="s">
        <v>67</v>
      </c>
      <c r="C20" s="97"/>
      <c r="D20" s="39" t="s">
        <v>41</v>
      </c>
      <c r="E20" s="40">
        <v>48294.553236960804</v>
      </c>
      <c r="F20" s="33">
        <f>E20*$C$46</f>
        <v>53104.690739362093</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83480.526906919113</v>
      </c>
      <c r="F23" s="30">
        <f>SUM(F24:F27)</f>
        <v>91795.187386848251</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20495.75505691913</v>
      </c>
      <c r="F26" s="33">
        <f>E26*$C$46</f>
        <v>22537.132260588274</v>
      </c>
    </row>
    <row r="27" spans="1:6" s="34" customFormat="1" ht="13.5" thickBot="1" x14ac:dyDescent="0.3">
      <c r="A27" s="35" t="s">
        <v>80</v>
      </c>
      <c r="B27" s="94" t="s">
        <v>81</v>
      </c>
      <c r="C27" s="95"/>
      <c r="D27" s="36" t="s">
        <v>41</v>
      </c>
      <c r="E27" s="37">
        <v>62984.77184999999</v>
      </c>
      <c r="F27" s="33">
        <f>E27*$C$46</f>
        <v>69258.055126259977</v>
      </c>
    </row>
    <row r="28" spans="1:6" ht="31.5" customHeight="1" thickBot="1" x14ac:dyDescent="0.3">
      <c r="A28" s="44" t="s">
        <v>82</v>
      </c>
      <c r="B28" s="122" t="s">
        <v>83</v>
      </c>
      <c r="C28" s="123"/>
      <c r="D28" s="45" t="s">
        <v>41</v>
      </c>
      <c r="E28" s="46">
        <v>68737.929999999993</v>
      </c>
      <c r="F28" s="33">
        <f>E28*$C$46</f>
        <v>75584.227827999988</v>
      </c>
    </row>
    <row r="29" spans="1:6" s="24" customFormat="1" ht="14.25" x14ac:dyDescent="0.25">
      <c r="A29" s="21" t="s">
        <v>84</v>
      </c>
      <c r="B29" s="111" t="s">
        <v>85</v>
      </c>
      <c r="C29" s="112"/>
      <c r="D29" s="22" t="s">
        <v>41</v>
      </c>
      <c r="E29" s="23">
        <v>2660817.0657263207</v>
      </c>
      <c r="F29" s="23">
        <f>SUM(F30:F33)</f>
        <v>2925834.4454726623</v>
      </c>
    </row>
    <row r="30" spans="1:6" x14ac:dyDescent="0.25">
      <c r="A30" s="41" t="s">
        <v>86</v>
      </c>
      <c r="B30" s="113" t="s">
        <v>87</v>
      </c>
      <c r="C30" s="114"/>
      <c r="D30" s="42" t="s">
        <v>41</v>
      </c>
      <c r="E30" s="43">
        <v>2512815.2459378149</v>
      </c>
      <c r="F30" s="33">
        <f>E30*$C$46</f>
        <v>2763091.6444332208</v>
      </c>
    </row>
    <row r="31" spans="1:6" x14ac:dyDescent="0.25">
      <c r="A31" s="41" t="s">
        <v>88</v>
      </c>
      <c r="B31" s="47" t="s">
        <v>89</v>
      </c>
      <c r="C31" s="48">
        <v>2.2499999999999999E-2</v>
      </c>
      <c r="D31" s="42" t="s">
        <v>41</v>
      </c>
      <c r="E31" s="43">
        <v>56538.343033600831</v>
      </c>
      <c r="F31" s="43">
        <f>F30*C31</f>
        <v>62169.561999747464</v>
      </c>
    </row>
    <row r="32" spans="1:6" x14ac:dyDescent="0.25">
      <c r="A32" s="41" t="s">
        <v>90</v>
      </c>
      <c r="B32" s="113" t="s">
        <v>91</v>
      </c>
      <c r="C32" s="114"/>
      <c r="D32" s="42" t="s">
        <v>41</v>
      </c>
      <c r="E32" s="43">
        <v>91463.47675490519</v>
      </c>
      <c r="F32" s="33">
        <f>E32*$C$46</f>
        <v>100573.23903969374</v>
      </c>
    </row>
    <row r="33" spans="1:6" ht="15.75" thickBot="1" x14ac:dyDescent="0.3">
      <c r="A33" s="25" t="s">
        <v>92</v>
      </c>
      <c r="B33" s="98" t="s">
        <v>93</v>
      </c>
      <c r="C33" s="99"/>
      <c r="D33" s="26" t="s">
        <v>41</v>
      </c>
      <c r="E33" s="27">
        <v>0</v>
      </c>
      <c r="F33" s="27">
        <v>0</v>
      </c>
    </row>
    <row r="34" spans="1:6" s="24" customFormat="1" ht="14.25" x14ac:dyDescent="0.25">
      <c r="A34" s="21" t="s">
        <v>94</v>
      </c>
      <c r="B34" s="102" t="s">
        <v>95</v>
      </c>
      <c r="C34" s="102"/>
      <c r="D34" s="22" t="s">
        <v>41</v>
      </c>
      <c r="E34" s="23">
        <v>2936070.3543008585</v>
      </c>
      <c r="F34" s="23">
        <f>SUM(F7,F29)</f>
        <v>3228502.9615892237</v>
      </c>
    </row>
    <row r="35" spans="1:6" x14ac:dyDescent="0.25">
      <c r="A35" s="41" t="s">
        <v>96</v>
      </c>
      <c r="B35" s="103" t="s">
        <v>97</v>
      </c>
      <c r="C35" s="103"/>
      <c r="D35" s="42" t="s">
        <v>41</v>
      </c>
      <c r="E35" s="43">
        <v>0</v>
      </c>
      <c r="F35" s="43">
        <f>C50</f>
        <v>0</v>
      </c>
    </row>
    <row r="36" spans="1:6" x14ac:dyDescent="0.25">
      <c r="A36" s="41" t="s">
        <v>98</v>
      </c>
      <c r="B36" s="103" t="s">
        <v>99</v>
      </c>
      <c r="C36" s="103"/>
      <c r="D36" s="42" t="s">
        <v>41</v>
      </c>
      <c r="E36" s="43">
        <v>2936070.3543008585</v>
      </c>
      <c r="F36" s="43">
        <f>F34+F35</f>
        <v>3228502.9615892237</v>
      </c>
    </row>
    <row r="37" spans="1:6" x14ac:dyDescent="0.25">
      <c r="A37" s="41" t="s">
        <v>100</v>
      </c>
      <c r="B37" s="47" t="s">
        <v>101</v>
      </c>
      <c r="C37" s="48">
        <v>1E-3</v>
      </c>
      <c r="D37" s="42" t="s">
        <v>41</v>
      </c>
      <c r="E37" s="43">
        <v>2936.0703543008585</v>
      </c>
      <c r="F37" s="43">
        <f>C54</f>
        <v>3228.5029615892236</v>
      </c>
    </row>
    <row r="38" spans="1:6" x14ac:dyDescent="0.25">
      <c r="A38" s="49" t="s">
        <v>102</v>
      </c>
      <c r="B38" s="50" t="s">
        <v>103</v>
      </c>
      <c r="C38" s="61">
        <f>F38/F39</f>
        <v>0.12546426227109478</v>
      </c>
      <c r="D38" s="5" t="s">
        <v>41</v>
      </c>
      <c r="E38" s="51">
        <v>2939006.4246551595</v>
      </c>
      <c r="F38" s="51">
        <f>F36+F37</f>
        <v>3231731.4645508127</v>
      </c>
    </row>
    <row r="39" spans="1:6" s="24" customFormat="1" ht="15" hidden="1" customHeight="1" x14ac:dyDescent="0.25">
      <c r="A39" s="53" t="s">
        <v>102</v>
      </c>
      <c r="B39" s="115" t="s">
        <v>104</v>
      </c>
      <c r="C39" s="116"/>
      <c r="D39" s="54" t="s">
        <v>41</v>
      </c>
      <c r="E39" s="55">
        <v>25758183.295000002</v>
      </c>
      <c r="F39" s="55">
        <f>51516366.59/2</f>
        <v>25758183.295000002</v>
      </c>
    </row>
    <row r="40" spans="1:6" x14ac:dyDescent="0.25">
      <c r="A40" s="56" t="s">
        <v>105</v>
      </c>
      <c r="B40" s="117" t="s">
        <v>106</v>
      </c>
      <c r="C40" s="117"/>
      <c r="D40" s="4" t="s">
        <v>109</v>
      </c>
      <c r="E40" s="57">
        <v>168000</v>
      </c>
      <c r="F40" s="57">
        <f>C57</f>
        <v>168000</v>
      </c>
    </row>
    <row r="41" spans="1:6" s="24" customFormat="1" x14ac:dyDescent="0.25">
      <c r="A41" s="58" t="s">
        <v>107</v>
      </c>
      <c r="B41" s="120" t="s">
        <v>108</v>
      </c>
      <c r="C41" s="121"/>
      <c r="D41" s="59" t="s">
        <v>110</v>
      </c>
      <c r="E41" s="60">
        <v>17.494085861042617</v>
      </c>
      <c r="F41" s="60">
        <f>F38/F40</f>
        <v>19.236496812802457</v>
      </c>
    </row>
    <row r="42" spans="1:6" x14ac:dyDescent="0.25">
      <c r="B42" s="3" t="s">
        <v>191</v>
      </c>
    </row>
    <row r="43" spans="1:6" ht="15.75" x14ac:dyDescent="0.25">
      <c r="E43" s="65"/>
    </row>
    <row r="46" spans="1:6" x14ac:dyDescent="0.25">
      <c r="B46" s="74" t="s">
        <v>127</v>
      </c>
      <c r="C46" s="75">
        <v>1.0995999999999999</v>
      </c>
    </row>
    <row r="47" spans="1:6" x14ac:dyDescent="0.25">
      <c r="B47" s="76" t="s">
        <v>128</v>
      </c>
      <c r="C47" s="77">
        <f>E34</f>
        <v>2936070.3543008585</v>
      </c>
    </row>
    <row r="48" spans="1:6" x14ac:dyDescent="0.25">
      <c r="B48" s="76" t="s">
        <v>129</v>
      </c>
      <c r="C48" s="77">
        <f>C47*C46</f>
        <v>3228502.9615892237</v>
      </c>
    </row>
    <row r="49" spans="2:6" x14ac:dyDescent="0.25">
      <c r="B49" s="76" t="s">
        <v>130</v>
      </c>
      <c r="C49" s="77">
        <f>E35</f>
        <v>0</v>
      </c>
    </row>
    <row r="50" spans="2:6" x14ac:dyDescent="0.25">
      <c r="B50" s="76" t="s">
        <v>131</v>
      </c>
      <c r="C50" s="77">
        <f>C49</f>
        <v>0</v>
      </c>
    </row>
    <row r="51" spans="2:6" x14ac:dyDescent="0.25">
      <c r="B51" s="76" t="s">
        <v>132</v>
      </c>
      <c r="C51" s="77">
        <f>C48+C50</f>
        <v>3228502.9615892237</v>
      </c>
    </row>
    <row r="52" spans="2:6" x14ac:dyDescent="0.25">
      <c r="B52" s="76" t="s">
        <v>133</v>
      </c>
      <c r="C52" s="75">
        <f>C37</f>
        <v>1E-3</v>
      </c>
    </row>
    <row r="53" spans="2:6" x14ac:dyDescent="0.25">
      <c r="B53" s="76" t="s">
        <v>134</v>
      </c>
      <c r="C53" s="75">
        <f>C52</f>
        <v>1E-3</v>
      </c>
    </row>
    <row r="54" spans="2:6" x14ac:dyDescent="0.25">
      <c r="B54" s="76" t="s">
        <v>135</v>
      </c>
      <c r="C54" s="77">
        <f>C51*C53</f>
        <v>3228.5029615892236</v>
      </c>
    </row>
    <row r="55" spans="2:6" x14ac:dyDescent="0.25">
      <c r="B55" s="76" t="s">
        <v>136</v>
      </c>
      <c r="C55" s="77">
        <f>C51+C54</f>
        <v>3231731.4645508127</v>
      </c>
    </row>
    <row r="56" spans="2:6" x14ac:dyDescent="0.25">
      <c r="B56" s="76" t="s">
        <v>137</v>
      </c>
      <c r="C56" s="77">
        <f>E40</f>
        <v>168000</v>
      </c>
    </row>
    <row r="57" spans="2:6" x14ac:dyDescent="0.25">
      <c r="B57" s="76" t="s">
        <v>138</v>
      </c>
      <c r="C57" s="77">
        <f>C56</f>
        <v>168000</v>
      </c>
    </row>
    <row r="58" spans="2:6" x14ac:dyDescent="0.25">
      <c r="B58" s="74" t="s">
        <v>139</v>
      </c>
      <c r="C58" s="78">
        <f>C55/(C57)</f>
        <v>19.236496812802457</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40:C40"/>
    <mergeCell ref="B25:C25"/>
    <mergeCell ref="B26:C26"/>
    <mergeCell ref="B41:C41"/>
    <mergeCell ref="B27:C27"/>
    <mergeCell ref="B28:C28"/>
    <mergeCell ref="B29:C29"/>
    <mergeCell ref="B30:C30"/>
    <mergeCell ref="B32:C32"/>
    <mergeCell ref="B21:C21"/>
    <mergeCell ref="B22:C22"/>
    <mergeCell ref="B23:C23"/>
    <mergeCell ref="B24:C24"/>
    <mergeCell ref="B39:C39"/>
    <mergeCell ref="B8:C8"/>
    <mergeCell ref="B9:C9"/>
    <mergeCell ref="B10:C10"/>
    <mergeCell ref="B11:C11"/>
    <mergeCell ref="B15:C15"/>
    <mergeCell ref="A2:F2"/>
    <mergeCell ref="A4:F4"/>
    <mergeCell ref="A5:F5"/>
    <mergeCell ref="B6:C6"/>
    <mergeCell ref="B7:C7"/>
    <mergeCell ref="A83:F83"/>
    <mergeCell ref="B12:C12"/>
    <mergeCell ref="B13:C13"/>
    <mergeCell ref="B61:F63"/>
    <mergeCell ref="B67:F68"/>
    <mergeCell ref="B74:F74"/>
    <mergeCell ref="B14:C14"/>
    <mergeCell ref="B16:C16"/>
    <mergeCell ref="B17:C17"/>
    <mergeCell ref="B18:C18"/>
    <mergeCell ref="B19:C19"/>
    <mergeCell ref="B20:C20"/>
    <mergeCell ref="B33:C33"/>
    <mergeCell ref="B34:C34"/>
    <mergeCell ref="B35:C35"/>
    <mergeCell ref="B36:C36"/>
    <mergeCell ref="B70:F72"/>
    <mergeCell ref="B75:F76"/>
    <mergeCell ref="A80:F80"/>
    <mergeCell ref="A81:F81"/>
    <mergeCell ref="A82:F82"/>
  </mergeCells>
  <phoneticPr fontId="11" type="noConversion"/>
  <pageMargins left="0.7" right="0.28000000000000003" top="0.75" bottom="0.75" header="0.3" footer="0.3"/>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E36B-7CE5-41A9-B5B5-E5AE36E12181}">
  <sheetPr>
    <tabColor rgb="FF00B050"/>
    <pageSetUpPr fitToPage="1"/>
  </sheetPr>
  <dimension ref="A1:H83"/>
  <sheetViews>
    <sheetView topLeftCell="A29" workbookViewId="0">
      <selection activeCell="H51" sqref="H51"/>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167</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5138742.9000000004</v>
      </c>
      <c r="F7" s="23">
        <f>SUM(F8,F9,F14,F15,F16,F17,F20,F21,F22,F23,F28)</f>
        <v>5650561.695571146</v>
      </c>
    </row>
    <row r="8" spans="1:6" ht="15.75" thickBot="1" x14ac:dyDescent="0.3">
      <c r="A8" s="25" t="s">
        <v>42</v>
      </c>
      <c r="B8" s="98" t="s">
        <v>43</v>
      </c>
      <c r="C8" s="99"/>
      <c r="D8" s="26" t="s">
        <v>41</v>
      </c>
      <c r="E8" s="27">
        <v>60392.628082270821</v>
      </c>
      <c r="F8" s="33">
        <f>E8*$C$46</f>
        <v>66407.733839264984</v>
      </c>
    </row>
    <row r="9" spans="1:6" x14ac:dyDescent="0.25">
      <c r="A9" s="28" t="s">
        <v>44</v>
      </c>
      <c r="B9" s="100" t="s">
        <v>45</v>
      </c>
      <c r="C9" s="101"/>
      <c r="D9" s="29" t="s">
        <v>41</v>
      </c>
      <c r="E9" s="30">
        <f>E10+E11+E12+E13</f>
        <v>3279</v>
      </c>
      <c r="F9" s="30">
        <f>SUM(F10:F13)</f>
        <v>3605.5883999999996</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3279</v>
      </c>
      <c r="F12" s="33">
        <f t="shared" si="0"/>
        <v>3605.5883999999996</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4500</v>
      </c>
      <c r="F14" s="33">
        <f t="shared" si="0"/>
        <v>4948.2</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17989.473700000002</v>
      </c>
      <c r="F16" s="33">
        <f t="shared" si="0"/>
        <v>19781.225280520001</v>
      </c>
    </row>
    <row r="17" spans="1:6" x14ac:dyDescent="0.25">
      <c r="A17" s="28" t="s">
        <v>60</v>
      </c>
      <c r="B17" s="100" t="s">
        <v>61</v>
      </c>
      <c r="C17" s="101"/>
      <c r="D17" s="29" t="s">
        <v>41</v>
      </c>
      <c r="E17" s="30">
        <f>E18+E19</f>
        <v>7875</v>
      </c>
      <c r="F17" s="30">
        <f>SUM(F18:F19)</f>
        <v>8659.3499999999985</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7875</v>
      </c>
      <c r="F19" s="33">
        <f>E19*$C$46</f>
        <v>8659.3499999999985</v>
      </c>
    </row>
    <row r="20" spans="1:6" ht="30.75" customHeight="1" x14ac:dyDescent="0.25">
      <c r="A20" s="38" t="s">
        <v>66</v>
      </c>
      <c r="B20" s="96" t="s">
        <v>67</v>
      </c>
      <c r="C20" s="97"/>
      <c r="D20" s="39" t="s">
        <v>41</v>
      </c>
      <c r="E20" s="40">
        <v>52600.237791379055</v>
      </c>
      <c r="F20" s="33">
        <f>E20*$C$46</f>
        <v>57839.221475400402</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f>E24+E25+E26+E27</f>
        <v>4963985.9379101144</v>
      </c>
      <c r="F23" s="30">
        <f>SUM(F24:F27)</f>
        <v>5458398.937325961</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28682.277910113837</v>
      </c>
      <c r="F26" s="33">
        <f>E26*$C$46</f>
        <v>31539.032789961173</v>
      </c>
    </row>
    <row r="27" spans="1:6" s="34" customFormat="1" ht="13.5" thickBot="1" x14ac:dyDescent="0.3">
      <c r="A27" s="35" t="s">
        <v>80</v>
      </c>
      <c r="B27" s="94" t="s">
        <v>81</v>
      </c>
      <c r="C27" s="95"/>
      <c r="D27" s="36" t="s">
        <v>41</v>
      </c>
      <c r="E27" s="37">
        <v>4935303.66</v>
      </c>
      <c r="F27" s="33">
        <f>E27*$C$46</f>
        <v>5426859.9045359995</v>
      </c>
    </row>
    <row r="28" spans="1:6" ht="31.5" customHeight="1" thickBot="1" x14ac:dyDescent="0.3">
      <c r="A28" s="44" t="s">
        <v>82</v>
      </c>
      <c r="B28" s="122" t="s">
        <v>83</v>
      </c>
      <c r="C28" s="123"/>
      <c r="D28" s="45" t="s">
        <v>41</v>
      </c>
      <c r="E28" s="46">
        <v>28120.624999999996</v>
      </c>
      <c r="F28" s="33">
        <f>E28*$C$46</f>
        <v>30921.439249999992</v>
      </c>
    </row>
    <row r="29" spans="1:6" s="24" customFormat="1" ht="14.25" x14ac:dyDescent="0.25">
      <c r="A29" s="21" t="s">
        <v>84</v>
      </c>
      <c r="B29" s="111" t="s">
        <v>85</v>
      </c>
      <c r="C29" s="112"/>
      <c r="D29" s="22" t="s">
        <v>41</v>
      </c>
      <c r="E29" s="23">
        <f>E30+E31+E32+E33</f>
        <v>2450203.6356319669</v>
      </c>
      <c r="F29" s="23">
        <f>SUM(F30:F33)</f>
        <v>2694243.9177409108</v>
      </c>
    </row>
    <row r="30" spans="1:6" x14ac:dyDescent="0.25">
      <c r="A30" s="41" t="s">
        <v>86</v>
      </c>
      <c r="B30" s="113" t="s">
        <v>87</v>
      </c>
      <c r="C30" s="114"/>
      <c r="D30" s="42" t="s">
        <v>41</v>
      </c>
      <c r="E30" s="43">
        <v>2322056.6739601437</v>
      </c>
      <c r="F30" s="33">
        <f>E30*$C$46</f>
        <v>2553333.518686574</v>
      </c>
    </row>
    <row r="31" spans="1:6" x14ac:dyDescent="0.25">
      <c r="A31" s="41" t="s">
        <v>88</v>
      </c>
      <c r="B31" s="47" t="s">
        <v>89</v>
      </c>
      <c r="C31" s="48">
        <v>2.2499999999999999E-2</v>
      </c>
      <c r="D31" s="42" t="s">
        <v>41</v>
      </c>
      <c r="E31" s="43">
        <v>52246.27516410323</v>
      </c>
      <c r="F31" s="43">
        <f>F30*C31</f>
        <v>57450.004170447915</v>
      </c>
    </row>
    <row r="32" spans="1:6" x14ac:dyDescent="0.25">
      <c r="A32" s="41" t="s">
        <v>90</v>
      </c>
      <c r="B32" s="113" t="s">
        <v>91</v>
      </c>
      <c r="C32" s="114"/>
      <c r="D32" s="42" t="s">
        <v>41</v>
      </c>
      <c r="E32" s="43">
        <v>75900.686507719816</v>
      </c>
      <c r="F32" s="33">
        <f>E32*$C$46</f>
        <v>83460.394883888701</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f>E7+E29</f>
        <v>7588946.5356319677</v>
      </c>
      <c r="F34" s="23">
        <f>SUM(F7,F29)</f>
        <v>8344805.6133120563</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f>E34+E35</f>
        <v>7588946.5356319677</v>
      </c>
      <c r="F36" s="43">
        <f>F34+F35</f>
        <v>8344805.6133120563</v>
      </c>
    </row>
    <row r="37" spans="1:8" x14ac:dyDescent="0.25">
      <c r="A37" s="41" t="s">
        <v>100</v>
      </c>
      <c r="B37" s="47" t="s">
        <v>101</v>
      </c>
      <c r="C37" s="48">
        <v>1E-3</v>
      </c>
      <c r="D37" s="42" t="s">
        <v>41</v>
      </c>
      <c r="E37" s="43">
        <f>E36*C37</f>
        <v>7588.9465356319679</v>
      </c>
      <c r="F37" s="43">
        <f>C54</f>
        <v>8344.8056105809119</v>
      </c>
    </row>
    <row r="38" spans="1:8" x14ac:dyDescent="0.25">
      <c r="A38" s="49" t="s">
        <v>102</v>
      </c>
      <c r="B38" s="50" t="s">
        <v>103</v>
      </c>
      <c r="C38" s="61">
        <f>F38/F39</f>
        <v>0.32429113199703385</v>
      </c>
      <c r="D38" s="5" t="s">
        <v>41</v>
      </c>
      <c r="E38" s="51">
        <f>E36+E37</f>
        <v>7596535.4821675997</v>
      </c>
      <c r="F38" s="51">
        <f>F36+F37</f>
        <v>8353150.4189226376</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111</v>
      </c>
      <c r="E40" s="57">
        <v>16031</v>
      </c>
      <c r="F40" s="57">
        <f>C57</f>
        <v>16031</v>
      </c>
    </row>
    <row r="41" spans="1:8" s="24" customFormat="1" x14ac:dyDescent="0.25">
      <c r="A41" s="58" t="s">
        <v>107</v>
      </c>
      <c r="B41" s="120" t="s">
        <v>108</v>
      </c>
      <c r="C41" s="121"/>
      <c r="D41" s="59" t="s">
        <v>112</v>
      </c>
      <c r="E41" s="60">
        <f>E38/E40</f>
        <v>473.86535351304349</v>
      </c>
      <c r="F41" s="60">
        <f>F38/F40</f>
        <v>521.06234289330905</v>
      </c>
    </row>
    <row r="42" spans="1:8" x14ac:dyDescent="0.25">
      <c r="B42" s="3" t="s">
        <v>191</v>
      </c>
    </row>
    <row r="43" spans="1:8" ht="15.75" x14ac:dyDescent="0.25">
      <c r="E43" s="65"/>
    </row>
    <row r="46" spans="1:8" x14ac:dyDescent="0.25">
      <c r="B46" s="74" t="s">
        <v>127</v>
      </c>
      <c r="C46" s="75">
        <v>1.0995999999999999</v>
      </c>
    </row>
    <row r="47" spans="1:8" x14ac:dyDescent="0.25">
      <c r="B47" s="76" t="s">
        <v>128</v>
      </c>
      <c r="C47" s="77">
        <f>E34</f>
        <v>7588946.5356319677</v>
      </c>
    </row>
    <row r="48" spans="1:8" x14ac:dyDescent="0.25">
      <c r="B48" s="76" t="s">
        <v>129</v>
      </c>
      <c r="C48" s="77">
        <f>C47*C46</f>
        <v>8344805.6105809109</v>
      </c>
    </row>
    <row r="49" spans="2:6" x14ac:dyDescent="0.25">
      <c r="B49" s="76" t="s">
        <v>130</v>
      </c>
      <c r="C49" s="77">
        <f>E35</f>
        <v>0</v>
      </c>
    </row>
    <row r="50" spans="2:6" x14ac:dyDescent="0.25">
      <c r="B50" s="76" t="s">
        <v>131</v>
      </c>
      <c r="C50" s="77">
        <f>C49</f>
        <v>0</v>
      </c>
    </row>
    <row r="51" spans="2:6" x14ac:dyDescent="0.25">
      <c r="B51" s="76" t="s">
        <v>132</v>
      </c>
      <c r="C51" s="77">
        <f>C48+C50</f>
        <v>8344805.6105809109</v>
      </c>
    </row>
    <row r="52" spans="2:6" x14ac:dyDescent="0.25">
      <c r="B52" s="76" t="s">
        <v>133</v>
      </c>
      <c r="C52" s="75">
        <f>C37</f>
        <v>1E-3</v>
      </c>
    </row>
    <row r="53" spans="2:6" x14ac:dyDescent="0.25">
      <c r="B53" s="76" t="s">
        <v>134</v>
      </c>
      <c r="C53" s="75">
        <f>C52</f>
        <v>1E-3</v>
      </c>
    </row>
    <row r="54" spans="2:6" x14ac:dyDescent="0.25">
      <c r="B54" s="76" t="s">
        <v>135</v>
      </c>
      <c r="C54" s="77">
        <f>C51*C53</f>
        <v>8344.8056105809119</v>
      </c>
    </row>
    <row r="55" spans="2:6" x14ac:dyDescent="0.25">
      <c r="B55" s="76" t="s">
        <v>136</v>
      </c>
      <c r="C55" s="77">
        <f>C51+C54</f>
        <v>8353150.4161914922</v>
      </c>
    </row>
    <row r="56" spans="2:6" x14ac:dyDescent="0.25">
      <c r="B56" s="76" t="s">
        <v>163</v>
      </c>
      <c r="C56" s="77">
        <f>E40</f>
        <v>16031</v>
      </c>
    </row>
    <row r="57" spans="2:6" x14ac:dyDescent="0.25">
      <c r="B57" s="76" t="s">
        <v>164</v>
      </c>
      <c r="C57" s="77">
        <f>C56</f>
        <v>16031</v>
      </c>
    </row>
    <row r="58" spans="2:6" x14ac:dyDescent="0.25">
      <c r="B58" s="74" t="s">
        <v>161</v>
      </c>
      <c r="C58" s="78">
        <f>C55/(C57)</f>
        <v>521.06234272294262</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162</v>
      </c>
      <c r="C75" s="89"/>
      <c r="D75" s="89"/>
      <c r="E75" s="89"/>
      <c r="F75" s="89"/>
    </row>
    <row r="76" spans="1:6" x14ac:dyDescent="0.25">
      <c r="B76" s="89"/>
      <c r="C76" s="89"/>
      <c r="D76" s="89"/>
      <c r="E76" s="89"/>
      <c r="F76" s="89"/>
    </row>
    <row r="77" spans="1:6" x14ac:dyDescent="0.25">
      <c r="B77" s="80" t="s">
        <v>149</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32"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0445-AE2F-441A-AE52-429D0E22BA4A}">
  <sheetPr>
    <pageSetUpPr fitToPage="1"/>
  </sheetPr>
  <dimension ref="A1:L83"/>
  <sheetViews>
    <sheetView topLeftCell="A5" workbookViewId="0">
      <selection activeCell="D57" sqref="D57"/>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1" width="9.140625" style="15"/>
    <col min="12" max="12" width="13.140625" style="52" bestFit="1" customWidth="1"/>
    <col min="13" max="16384" width="9.140625" style="15"/>
  </cols>
  <sheetData>
    <row r="1" spans="1:12" ht="15.75" hidden="1" thickBot="1" x14ac:dyDescent="0.3">
      <c r="A1" s="15" t="s">
        <v>35</v>
      </c>
    </row>
    <row r="2" spans="1:12" ht="15.75" hidden="1" thickBot="1" x14ac:dyDescent="0.3">
      <c r="A2" s="104" t="s">
        <v>36</v>
      </c>
      <c r="B2" s="104"/>
      <c r="C2" s="104"/>
      <c r="D2" s="104"/>
      <c r="E2" s="104"/>
      <c r="F2" s="104"/>
    </row>
    <row r="3" spans="1:12" ht="15.75" hidden="1" thickBot="1" x14ac:dyDescent="0.3"/>
    <row r="4" spans="1:12" ht="43.15" hidden="1" customHeight="1" thickBot="1" x14ac:dyDescent="0.3">
      <c r="A4" s="105" t="s">
        <v>177</v>
      </c>
      <c r="B4" s="105"/>
      <c r="C4" s="105"/>
      <c r="D4" s="105"/>
      <c r="E4" s="105"/>
      <c r="F4" s="105"/>
    </row>
    <row r="5" spans="1:12" ht="48" customHeight="1" thickBot="1" x14ac:dyDescent="0.3">
      <c r="A5" s="106" t="s">
        <v>168</v>
      </c>
      <c r="B5" s="107"/>
      <c r="C5" s="107"/>
      <c r="D5" s="107"/>
      <c r="E5" s="107"/>
      <c r="F5" s="108"/>
    </row>
    <row r="6" spans="1:12" ht="43.5" thickBot="1" x14ac:dyDescent="0.3">
      <c r="A6" s="17" t="s">
        <v>0</v>
      </c>
      <c r="B6" s="109" t="s">
        <v>38</v>
      </c>
      <c r="C6" s="110"/>
      <c r="D6" s="19" t="s">
        <v>39</v>
      </c>
      <c r="E6" s="18" t="s">
        <v>121</v>
      </c>
      <c r="F6" s="20" t="s">
        <v>122</v>
      </c>
    </row>
    <row r="7" spans="1:12" s="24" customFormat="1" ht="14.25" x14ac:dyDescent="0.25">
      <c r="A7" s="21">
        <v>1</v>
      </c>
      <c r="B7" s="111" t="s">
        <v>40</v>
      </c>
      <c r="C7" s="112"/>
      <c r="D7" s="22" t="s">
        <v>41</v>
      </c>
      <c r="E7" s="23">
        <v>2498894.5223287414</v>
      </c>
      <c r="F7" s="23">
        <f>SUM(F8,F9,F14,F15,F16,F17,F20,F21,F22,F23,F28)</f>
        <v>2747784.4167526839</v>
      </c>
      <c r="L7" s="146"/>
    </row>
    <row r="8" spans="1:12" ht="15.75" thickBot="1" x14ac:dyDescent="0.3">
      <c r="A8" s="25" t="s">
        <v>42</v>
      </c>
      <c r="B8" s="98" t="s">
        <v>43</v>
      </c>
      <c r="C8" s="99"/>
      <c r="D8" s="26" t="s">
        <v>41</v>
      </c>
      <c r="E8" s="27">
        <v>970994.41043979593</v>
      </c>
      <c r="F8" s="33">
        <f>E8*$C$46</f>
        <v>1067705.4537195994</v>
      </c>
      <c r="I8" s="24"/>
      <c r="J8" s="24"/>
      <c r="L8" s="146"/>
    </row>
    <row r="9" spans="1:12" x14ac:dyDescent="0.25">
      <c r="A9" s="28" t="s">
        <v>44</v>
      </c>
      <c r="B9" s="100" t="s">
        <v>45</v>
      </c>
      <c r="C9" s="101"/>
      <c r="D9" s="29" t="s">
        <v>41</v>
      </c>
      <c r="E9" s="30">
        <v>11040.0651</v>
      </c>
      <c r="F9" s="30">
        <f>SUM(F10:F13)</f>
        <v>12139.655583959999</v>
      </c>
      <c r="I9" s="24"/>
      <c r="J9" s="24"/>
      <c r="L9" s="146"/>
    </row>
    <row r="10" spans="1:12" s="34" customFormat="1" ht="14.25" x14ac:dyDescent="0.25">
      <c r="A10" s="31" t="s">
        <v>46</v>
      </c>
      <c r="B10" s="92" t="s">
        <v>47</v>
      </c>
      <c r="C10" s="93"/>
      <c r="D10" s="32" t="s">
        <v>41</v>
      </c>
      <c r="E10" s="33">
        <v>0</v>
      </c>
      <c r="F10" s="33">
        <f t="shared" ref="F10:F16" si="0">E10*$C$46</f>
        <v>0</v>
      </c>
      <c r="I10" s="24"/>
      <c r="J10" s="24"/>
      <c r="L10" s="146"/>
    </row>
    <row r="11" spans="1:12" s="34" customFormat="1" ht="14.25" x14ac:dyDescent="0.25">
      <c r="A11" s="31" t="s">
        <v>48</v>
      </c>
      <c r="B11" s="92" t="s">
        <v>49</v>
      </c>
      <c r="C11" s="93"/>
      <c r="D11" s="32" t="s">
        <v>41</v>
      </c>
      <c r="E11" s="33">
        <v>0</v>
      </c>
      <c r="F11" s="33">
        <f t="shared" si="0"/>
        <v>0</v>
      </c>
      <c r="I11" s="24"/>
      <c r="J11" s="24"/>
      <c r="L11" s="146"/>
    </row>
    <row r="12" spans="1:12" s="34" customFormat="1" ht="14.25" x14ac:dyDescent="0.25">
      <c r="A12" s="31" t="s">
        <v>50</v>
      </c>
      <c r="B12" s="92" t="s">
        <v>51</v>
      </c>
      <c r="C12" s="93"/>
      <c r="D12" s="32" t="s">
        <v>41</v>
      </c>
      <c r="E12" s="33">
        <v>11040.0651</v>
      </c>
      <c r="F12" s="33">
        <f t="shared" si="0"/>
        <v>12139.655583959999</v>
      </c>
      <c r="I12" s="24"/>
      <c r="J12" s="24"/>
      <c r="L12" s="146"/>
    </row>
    <row r="13" spans="1:12" s="34" customFormat="1" thickBot="1" x14ac:dyDescent="0.3">
      <c r="A13" s="35" t="s">
        <v>52</v>
      </c>
      <c r="B13" s="94" t="s">
        <v>53</v>
      </c>
      <c r="C13" s="95"/>
      <c r="D13" s="36" t="s">
        <v>41</v>
      </c>
      <c r="E13" s="37">
        <v>0</v>
      </c>
      <c r="F13" s="33">
        <f t="shared" si="0"/>
        <v>0</v>
      </c>
      <c r="I13" s="24"/>
      <c r="J13" s="24"/>
      <c r="L13" s="146"/>
    </row>
    <row r="14" spans="1:12" ht="29.25" customHeight="1" x14ac:dyDescent="0.25">
      <c r="A14" s="38" t="s">
        <v>54</v>
      </c>
      <c r="B14" s="96" t="s">
        <v>55</v>
      </c>
      <c r="C14" s="97"/>
      <c r="D14" s="39" t="s">
        <v>41</v>
      </c>
      <c r="E14" s="40">
        <v>12000</v>
      </c>
      <c r="F14" s="33">
        <f t="shared" si="0"/>
        <v>13195.199999999999</v>
      </c>
      <c r="I14" s="24"/>
      <c r="J14" s="24"/>
      <c r="L14" s="146"/>
    </row>
    <row r="15" spans="1:12" x14ac:dyDescent="0.25">
      <c r="A15" s="41" t="s">
        <v>56</v>
      </c>
      <c r="B15" s="113" t="s">
        <v>57</v>
      </c>
      <c r="C15" s="114"/>
      <c r="D15" s="42" t="s">
        <v>41</v>
      </c>
      <c r="E15" s="43">
        <v>0</v>
      </c>
      <c r="F15" s="33">
        <f t="shared" si="0"/>
        <v>0</v>
      </c>
      <c r="I15" s="24"/>
      <c r="J15" s="24"/>
      <c r="L15" s="146"/>
    </row>
    <row r="16" spans="1:12" ht="15.75" thickBot="1" x14ac:dyDescent="0.3">
      <c r="A16" s="25" t="s">
        <v>58</v>
      </c>
      <c r="B16" s="98" t="s">
        <v>59</v>
      </c>
      <c r="C16" s="99"/>
      <c r="D16" s="26" t="s">
        <v>41</v>
      </c>
      <c r="E16" s="27">
        <v>2425.1703000000002</v>
      </c>
      <c r="F16" s="33">
        <f t="shared" si="0"/>
        <v>2666.71726188</v>
      </c>
      <c r="I16" s="24"/>
      <c r="J16" s="24"/>
      <c r="L16" s="146"/>
    </row>
    <row r="17" spans="1:12" x14ac:dyDescent="0.25">
      <c r="A17" s="28" t="s">
        <v>60</v>
      </c>
      <c r="B17" s="100" t="s">
        <v>61</v>
      </c>
      <c r="C17" s="101"/>
      <c r="D17" s="29" t="s">
        <v>41</v>
      </c>
      <c r="E17" s="30">
        <v>21000</v>
      </c>
      <c r="F17" s="30">
        <f>SUM(F18:F19)</f>
        <v>23091.599999999999</v>
      </c>
      <c r="I17" s="24"/>
      <c r="J17" s="24"/>
      <c r="L17" s="146"/>
    </row>
    <row r="18" spans="1:12" s="34" customFormat="1" ht="14.25" x14ac:dyDescent="0.25">
      <c r="A18" s="31" t="s">
        <v>62</v>
      </c>
      <c r="B18" s="92" t="s">
        <v>63</v>
      </c>
      <c r="C18" s="93"/>
      <c r="D18" s="32" t="s">
        <v>41</v>
      </c>
      <c r="E18" s="33">
        <v>0</v>
      </c>
      <c r="F18" s="33">
        <f>E18*$C$46</f>
        <v>0</v>
      </c>
      <c r="I18" s="24"/>
      <c r="J18" s="24"/>
      <c r="L18" s="146"/>
    </row>
    <row r="19" spans="1:12" s="34" customFormat="1" thickBot="1" x14ac:dyDescent="0.3">
      <c r="A19" s="35" t="s">
        <v>64</v>
      </c>
      <c r="B19" s="94" t="s">
        <v>65</v>
      </c>
      <c r="C19" s="95"/>
      <c r="D19" s="36" t="s">
        <v>41</v>
      </c>
      <c r="E19" s="37">
        <v>21000</v>
      </c>
      <c r="F19" s="33">
        <f>E19*$C$46</f>
        <v>23091.599999999999</v>
      </c>
      <c r="I19" s="24"/>
      <c r="J19" s="24"/>
      <c r="L19" s="146"/>
    </row>
    <row r="20" spans="1:12" ht="30.75" customHeight="1" x14ac:dyDescent="0.25">
      <c r="A20" s="38" t="s">
        <v>66</v>
      </c>
      <c r="B20" s="96" t="s">
        <v>67</v>
      </c>
      <c r="C20" s="97"/>
      <c r="D20" s="39" t="s">
        <v>41</v>
      </c>
      <c r="E20" s="40">
        <v>220394.8477025821</v>
      </c>
      <c r="F20" s="33">
        <f>E20*$C$46</f>
        <v>242346.17453375927</v>
      </c>
      <c r="I20" s="24"/>
      <c r="J20" s="24"/>
      <c r="L20" s="146"/>
    </row>
    <row r="21" spans="1:12" x14ac:dyDescent="0.25">
      <c r="A21" s="41" t="s">
        <v>68</v>
      </c>
      <c r="B21" s="113" t="s">
        <v>69</v>
      </c>
      <c r="C21" s="114"/>
      <c r="D21" s="42" t="s">
        <v>41</v>
      </c>
      <c r="E21" s="43">
        <v>0</v>
      </c>
      <c r="F21" s="33">
        <f>E21*$C$46</f>
        <v>0</v>
      </c>
      <c r="I21" s="24"/>
      <c r="J21" s="24"/>
      <c r="L21" s="146"/>
    </row>
    <row r="22" spans="1:12" ht="15.75" thickBot="1" x14ac:dyDescent="0.3">
      <c r="A22" s="41" t="s">
        <v>70</v>
      </c>
      <c r="B22" s="113" t="s">
        <v>71</v>
      </c>
      <c r="C22" s="114"/>
      <c r="D22" s="42" t="s">
        <v>41</v>
      </c>
      <c r="E22" s="43">
        <v>0</v>
      </c>
      <c r="F22" s="33">
        <f>E22*$C$46</f>
        <v>0</v>
      </c>
      <c r="I22" s="24"/>
      <c r="J22" s="24"/>
      <c r="L22" s="146"/>
    </row>
    <row r="23" spans="1:12" x14ac:dyDescent="0.25">
      <c r="A23" s="28" t="s">
        <v>72</v>
      </c>
      <c r="B23" s="100" t="s">
        <v>73</v>
      </c>
      <c r="C23" s="101"/>
      <c r="D23" s="29" t="s">
        <v>41</v>
      </c>
      <c r="E23" s="30">
        <v>1261040.0287863633</v>
      </c>
      <c r="F23" s="30">
        <f>SUM(F24:F27)</f>
        <v>1386639.6156534851</v>
      </c>
      <c r="I23" s="24"/>
      <c r="J23" s="24"/>
      <c r="L23" s="146"/>
    </row>
    <row r="24" spans="1:12" s="34" customFormat="1" ht="14.25" x14ac:dyDescent="0.25">
      <c r="A24" s="31" t="s">
        <v>74</v>
      </c>
      <c r="B24" s="92" t="s">
        <v>75</v>
      </c>
      <c r="C24" s="93"/>
      <c r="D24" s="32" t="s">
        <v>41</v>
      </c>
      <c r="E24" s="33">
        <v>0</v>
      </c>
      <c r="F24" s="33">
        <f>E24*$C$46</f>
        <v>0</v>
      </c>
      <c r="I24" s="24"/>
      <c r="J24" s="24"/>
      <c r="L24" s="146"/>
    </row>
    <row r="25" spans="1:12" s="34" customFormat="1" ht="14.25" x14ac:dyDescent="0.25">
      <c r="A25" s="31" t="s">
        <v>76</v>
      </c>
      <c r="B25" s="118" t="s">
        <v>77</v>
      </c>
      <c r="C25" s="119"/>
      <c r="D25" s="32" t="s">
        <v>41</v>
      </c>
      <c r="E25" s="33">
        <v>0</v>
      </c>
      <c r="F25" s="33">
        <f>E25*$C$46</f>
        <v>0</v>
      </c>
      <c r="I25" s="24"/>
      <c r="J25" s="24"/>
      <c r="L25" s="146"/>
    </row>
    <row r="26" spans="1:12" s="34" customFormat="1" ht="14.25" x14ac:dyDescent="0.25">
      <c r="A26" s="31" t="s">
        <v>78</v>
      </c>
      <c r="B26" s="92" t="s">
        <v>79</v>
      </c>
      <c r="C26" s="93"/>
      <c r="D26" s="32" t="s">
        <v>41</v>
      </c>
      <c r="E26" s="33">
        <v>64329.363636363632</v>
      </c>
      <c r="F26" s="33">
        <f>E26*$C$46</f>
        <v>70736.568254545447</v>
      </c>
      <c r="I26" s="24"/>
      <c r="J26" s="24"/>
      <c r="L26" s="146"/>
    </row>
    <row r="27" spans="1:12" s="34" customFormat="1" thickBot="1" x14ac:dyDescent="0.3">
      <c r="A27" s="35" t="s">
        <v>80</v>
      </c>
      <c r="B27" s="94" t="s">
        <v>81</v>
      </c>
      <c r="C27" s="95"/>
      <c r="D27" s="36" t="s">
        <v>41</v>
      </c>
      <c r="E27" s="37">
        <v>1196710.6651499998</v>
      </c>
      <c r="F27" s="33">
        <f>E27*$C$46</f>
        <v>1315903.0473989397</v>
      </c>
      <c r="I27" s="24"/>
      <c r="J27" s="24"/>
      <c r="L27" s="146"/>
    </row>
    <row r="28" spans="1:12" ht="31.5" customHeight="1" thickBot="1" x14ac:dyDescent="0.3">
      <c r="A28" s="44" t="s">
        <v>82</v>
      </c>
      <c r="B28" s="122" t="s">
        <v>83</v>
      </c>
      <c r="C28" s="123"/>
      <c r="D28" s="45" t="s">
        <v>41</v>
      </c>
      <c r="E28" s="46">
        <v>0</v>
      </c>
      <c r="F28" s="33">
        <f>E28*$C$46</f>
        <v>0</v>
      </c>
      <c r="I28" s="24"/>
      <c r="J28" s="24"/>
      <c r="L28" s="146"/>
    </row>
    <row r="29" spans="1:12" s="24" customFormat="1" ht="14.25" x14ac:dyDescent="0.25">
      <c r="A29" s="21" t="s">
        <v>84</v>
      </c>
      <c r="B29" s="111" t="s">
        <v>85</v>
      </c>
      <c r="C29" s="112"/>
      <c r="D29" s="22" t="s">
        <v>41</v>
      </c>
      <c r="E29" s="23">
        <v>1502176.5589149091</v>
      </c>
      <c r="F29" s="23">
        <f>SUM(F30:F33)</f>
        <v>1651793.344182834</v>
      </c>
      <c r="L29" s="146"/>
    </row>
    <row r="30" spans="1:12" x14ac:dyDescent="0.25">
      <c r="A30" s="41" t="s">
        <v>86</v>
      </c>
      <c r="B30" s="113" t="s">
        <v>87</v>
      </c>
      <c r="C30" s="114"/>
      <c r="D30" s="42" t="s">
        <v>41</v>
      </c>
      <c r="E30" s="43">
        <v>1447879.8081322189</v>
      </c>
      <c r="F30" s="33">
        <f>E30*$C$46</f>
        <v>1592088.6370221877</v>
      </c>
      <c r="I30" s="24"/>
      <c r="J30" s="24"/>
      <c r="L30" s="146"/>
    </row>
    <row r="31" spans="1:12" x14ac:dyDescent="0.25">
      <c r="A31" s="41" t="s">
        <v>88</v>
      </c>
      <c r="B31" s="47" t="s">
        <v>89</v>
      </c>
      <c r="C31" s="48">
        <v>2.2499999999999999E-2</v>
      </c>
      <c r="D31" s="42" t="s">
        <v>41</v>
      </c>
      <c r="E31" s="43">
        <v>32577.295682974924</v>
      </c>
      <c r="F31" s="43">
        <f>F30*C31</f>
        <v>35821.994332999224</v>
      </c>
      <c r="I31" s="24"/>
      <c r="J31" s="24"/>
      <c r="L31" s="146"/>
    </row>
    <row r="32" spans="1:12" x14ac:dyDescent="0.25">
      <c r="A32" s="41" t="s">
        <v>90</v>
      </c>
      <c r="B32" s="113" t="s">
        <v>91</v>
      </c>
      <c r="C32" s="114"/>
      <c r="D32" s="42" t="s">
        <v>41</v>
      </c>
      <c r="E32" s="43">
        <v>21719.455099715386</v>
      </c>
      <c r="F32" s="33">
        <f>E32*$C$46</f>
        <v>23882.712827647036</v>
      </c>
      <c r="I32" s="24"/>
      <c r="J32" s="24"/>
      <c r="L32" s="146"/>
    </row>
    <row r="33" spans="1:12" ht="15.75" thickBot="1" x14ac:dyDescent="0.3">
      <c r="A33" s="25" t="s">
        <v>92</v>
      </c>
      <c r="B33" s="98" t="s">
        <v>93</v>
      </c>
      <c r="C33" s="99"/>
      <c r="D33" s="26" t="s">
        <v>41</v>
      </c>
      <c r="E33" s="27">
        <v>0</v>
      </c>
      <c r="F33" s="27">
        <v>0</v>
      </c>
      <c r="I33" s="24"/>
      <c r="J33" s="24"/>
      <c r="L33" s="146"/>
    </row>
    <row r="34" spans="1:12" s="24" customFormat="1" ht="14.25" x14ac:dyDescent="0.25">
      <c r="A34" s="21" t="s">
        <v>94</v>
      </c>
      <c r="B34" s="102" t="s">
        <v>95</v>
      </c>
      <c r="C34" s="102"/>
      <c r="D34" s="22" t="s">
        <v>41</v>
      </c>
      <c r="E34" s="23">
        <v>4001071.0812436505</v>
      </c>
      <c r="F34" s="23">
        <f>SUM(F7,F29)</f>
        <v>4399577.760935518</v>
      </c>
      <c r="L34" s="146"/>
    </row>
    <row r="35" spans="1:12" x14ac:dyDescent="0.25">
      <c r="A35" s="41" t="s">
        <v>96</v>
      </c>
      <c r="B35" s="103" t="s">
        <v>97</v>
      </c>
      <c r="C35" s="103"/>
      <c r="D35" s="42" t="s">
        <v>41</v>
      </c>
      <c r="E35" s="43">
        <v>800214.2162487302</v>
      </c>
      <c r="F35" s="43">
        <v>879915.55</v>
      </c>
      <c r="I35" s="24"/>
      <c r="J35" s="24"/>
      <c r="L35" s="146"/>
    </row>
    <row r="36" spans="1:12" x14ac:dyDescent="0.25">
      <c r="A36" s="41" t="s">
        <v>98</v>
      </c>
      <c r="B36" s="103" t="s">
        <v>99</v>
      </c>
      <c r="C36" s="103"/>
      <c r="D36" s="42" t="s">
        <v>41</v>
      </c>
      <c r="E36" s="43">
        <v>4801285.2974923812</v>
      </c>
      <c r="F36" s="43">
        <f>F34+F35</f>
        <v>5279493.3109355178</v>
      </c>
      <c r="I36" s="24"/>
      <c r="J36" s="24"/>
      <c r="L36" s="146"/>
    </row>
    <row r="37" spans="1:12" x14ac:dyDescent="0.25">
      <c r="A37" s="41" t="s">
        <v>100</v>
      </c>
      <c r="B37" s="47" t="s">
        <v>101</v>
      </c>
      <c r="C37" s="48">
        <v>0.15</v>
      </c>
      <c r="D37" s="42" t="s">
        <v>41</v>
      </c>
      <c r="E37" s="43">
        <v>720192.79462385713</v>
      </c>
      <c r="F37" s="43">
        <f>F36*C37</f>
        <v>791923.99664032762</v>
      </c>
      <c r="I37" s="24"/>
      <c r="J37" s="24"/>
      <c r="L37" s="146"/>
    </row>
    <row r="38" spans="1:12" x14ac:dyDescent="0.25">
      <c r="A38" s="49" t="s">
        <v>102</v>
      </c>
      <c r="B38" s="50" t="s">
        <v>103</v>
      </c>
      <c r="C38" s="61">
        <f>F38/F39</f>
        <v>0.23570828881998002</v>
      </c>
      <c r="D38" s="5" t="s">
        <v>41</v>
      </c>
      <c r="E38" s="51">
        <v>5521478.0921162385</v>
      </c>
      <c r="F38" s="51">
        <f>F36+F37</f>
        <v>6071417.3075758452</v>
      </c>
      <c r="H38" s="52"/>
      <c r="I38" s="24"/>
      <c r="J38" s="24"/>
      <c r="L38" s="146"/>
    </row>
    <row r="39" spans="1:12" s="24" customFormat="1" ht="15" hidden="1" customHeight="1" x14ac:dyDescent="0.25">
      <c r="A39" s="53" t="s">
        <v>102</v>
      </c>
      <c r="B39" s="115" t="s">
        <v>104</v>
      </c>
      <c r="C39" s="116"/>
      <c r="D39" s="54" t="s">
        <v>41</v>
      </c>
      <c r="E39" s="55">
        <v>25758183.295000002</v>
      </c>
      <c r="F39" s="55">
        <f>51516366.59/2</f>
        <v>25758183.295000002</v>
      </c>
      <c r="L39" s="146"/>
    </row>
    <row r="40" spans="1:12" x14ac:dyDescent="0.25">
      <c r="A40" s="56" t="s">
        <v>105</v>
      </c>
      <c r="B40" s="117" t="s">
        <v>106</v>
      </c>
      <c r="C40" s="117"/>
      <c r="D40" s="4" t="s">
        <v>109</v>
      </c>
      <c r="E40" s="57">
        <v>168000</v>
      </c>
      <c r="F40" s="57">
        <f>C57</f>
        <v>168000</v>
      </c>
      <c r="I40" s="24"/>
      <c r="J40" s="24"/>
      <c r="L40" s="146"/>
    </row>
    <row r="41" spans="1:12" s="24" customFormat="1" x14ac:dyDescent="0.25">
      <c r="A41" s="58" t="s">
        <v>107</v>
      </c>
      <c r="B41" s="120" t="s">
        <v>108</v>
      </c>
      <c r="C41" s="121"/>
      <c r="D41" s="59" t="s">
        <v>110</v>
      </c>
      <c r="E41" s="60">
        <v>32.865941024501417</v>
      </c>
      <c r="F41" s="60">
        <f>F38/F40</f>
        <v>36.139388735570506</v>
      </c>
      <c r="L41" s="146"/>
    </row>
    <row r="42" spans="1:12" x14ac:dyDescent="0.25">
      <c r="B42" s="3" t="s">
        <v>191</v>
      </c>
    </row>
    <row r="43" spans="1:12" ht="15.75" x14ac:dyDescent="0.25">
      <c r="E43" s="65"/>
    </row>
    <row r="46" spans="1:12" x14ac:dyDescent="0.25">
      <c r="B46" s="74" t="s">
        <v>127</v>
      </c>
      <c r="C46" s="75">
        <v>1.0995999999999999</v>
      </c>
    </row>
    <row r="47" spans="1:12" x14ac:dyDescent="0.25">
      <c r="B47" s="76" t="s">
        <v>128</v>
      </c>
      <c r="C47" s="77">
        <f>E34</f>
        <v>4001071.0812436505</v>
      </c>
    </row>
    <row r="48" spans="1:12" x14ac:dyDescent="0.25">
      <c r="B48" s="76" t="s">
        <v>129</v>
      </c>
      <c r="C48" s="77">
        <f>C47*C46</f>
        <v>4399577.760935518</v>
      </c>
    </row>
    <row r="49" spans="2:6" x14ac:dyDescent="0.25">
      <c r="B49" s="76" t="s">
        <v>130</v>
      </c>
      <c r="C49" s="77">
        <f>E35</f>
        <v>800214.2162487302</v>
      </c>
    </row>
    <row r="50" spans="2:6" x14ac:dyDescent="0.25">
      <c r="B50" s="76" t="s">
        <v>131</v>
      </c>
      <c r="C50" s="77">
        <f>F35</f>
        <v>879915.55</v>
      </c>
    </row>
    <row r="51" spans="2:6" x14ac:dyDescent="0.25">
      <c r="B51" s="76" t="s">
        <v>132</v>
      </c>
      <c r="C51" s="77">
        <f>C48+C50</f>
        <v>5279493.3109355178</v>
      </c>
    </row>
    <row r="52" spans="2:6" x14ac:dyDescent="0.25">
      <c r="B52" s="76" t="s">
        <v>133</v>
      </c>
      <c r="C52" s="75">
        <f>C37</f>
        <v>0.15</v>
      </c>
    </row>
    <row r="53" spans="2:6" x14ac:dyDescent="0.25">
      <c r="B53" s="76" t="s">
        <v>134</v>
      </c>
      <c r="C53" s="75">
        <f>C52</f>
        <v>0.15</v>
      </c>
    </row>
    <row r="54" spans="2:6" x14ac:dyDescent="0.25">
      <c r="B54" s="76" t="s">
        <v>135</v>
      </c>
      <c r="C54" s="77">
        <f>C51*C53</f>
        <v>791923.99664032762</v>
      </c>
    </row>
    <row r="55" spans="2:6" x14ac:dyDescent="0.25">
      <c r="B55" s="76" t="s">
        <v>136</v>
      </c>
      <c r="C55" s="77">
        <f>C51+C54</f>
        <v>6071417.3075758452</v>
      </c>
    </row>
    <row r="56" spans="2:6" x14ac:dyDescent="0.25">
      <c r="B56" s="76" t="s">
        <v>137</v>
      </c>
      <c r="C56" s="77">
        <f>E40</f>
        <v>168000</v>
      </c>
    </row>
    <row r="57" spans="2:6" x14ac:dyDescent="0.25">
      <c r="B57" s="76" t="s">
        <v>138</v>
      </c>
      <c r="C57" s="77">
        <f>C56</f>
        <v>168000</v>
      </c>
    </row>
    <row r="58" spans="2:6" x14ac:dyDescent="0.25">
      <c r="B58" s="74" t="s">
        <v>139</v>
      </c>
      <c r="C58" s="78">
        <f>C55/(C57)</f>
        <v>36.139388735570506</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8000000000000003" top="0.75" bottom="0.75" header="0.3" footer="0.3"/>
  <pageSetup paperSize="9"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5B34-B292-4A62-9F60-0DE09DD9786F}">
  <sheetPr>
    <pageSetUpPr fitToPage="1"/>
  </sheetPr>
  <dimension ref="A1:H83"/>
  <sheetViews>
    <sheetView topLeftCell="A18" workbookViewId="0">
      <selection activeCell="F45" sqref="F45"/>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169</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1201427.5634754715</v>
      </c>
      <c r="F7" s="23">
        <f>SUM(F8,F9,F14,F15,F16,F17,F20,F21,F22,F23,F28)</f>
        <v>1321089.7487976286</v>
      </c>
    </row>
    <row r="8" spans="1:6" ht="15.75" thickBot="1" x14ac:dyDescent="0.3">
      <c r="A8" s="25" t="s">
        <v>42</v>
      </c>
      <c r="B8" s="98" t="s">
        <v>43</v>
      </c>
      <c r="C8" s="99"/>
      <c r="D8" s="26" t="s">
        <v>41</v>
      </c>
      <c r="E8" s="27">
        <v>201391.43327640215</v>
      </c>
      <c r="F8" s="33">
        <f>E8*$C$46</f>
        <v>221450.0200307318</v>
      </c>
    </row>
    <row r="9" spans="1:6" x14ac:dyDescent="0.25">
      <c r="A9" s="28" t="s">
        <v>44</v>
      </c>
      <c r="B9" s="100" t="s">
        <v>45</v>
      </c>
      <c r="C9" s="101"/>
      <c r="D9" s="29" t="s">
        <v>41</v>
      </c>
      <c r="E9" s="30">
        <v>918120</v>
      </c>
      <c r="F9" s="30">
        <f>SUM(F10:F13)</f>
        <v>1009564.7519999999</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918120</v>
      </c>
      <c r="F12" s="33">
        <f t="shared" si="0"/>
        <v>1009564.7519999999</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6000</v>
      </c>
      <c r="F14" s="33">
        <f t="shared" si="0"/>
        <v>6597.5999999999995</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3772.4871333333335</v>
      </c>
      <c r="F16" s="33">
        <f t="shared" si="0"/>
        <v>4148.2268518133333</v>
      </c>
    </row>
    <row r="17" spans="1:6" x14ac:dyDescent="0.25">
      <c r="A17" s="28" t="s">
        <v>60</v>
      </c>
      <c r="B17" s="100" t="s">
        <v>61</v>
      </c>
      <c r="C17" s="101"/>
      <c r="D17" s="29" t="s">
        <v>41</v>
      </c>
      <c r="E17" s="30">
        <v>10500</v>
      </c>
      <c r="F17" s="30">
        <f>SUM(F18:F19)</f>
        <v>11545.8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10500</v>
      </c>
      <c r="F19" s="33">
        <f>E19*$C$46</f>
        <v>11545.8</v>
      </c>
    </row>
    <row r="20" spans="1:6" ht="30.75" customHeight="1" x14ac:dyDescent="0.25">
      <c r="A20" s="38" t="s">
        <v>66</v>
      </c>
      <c r="B20" s="96" t="s">
        <v>67</v>
      </c>
      <c r="C20" s="97"/>
      <c r="D20" s="39" t="s">
        <v>41</v>
      </c>
      <c r="E20" s="40">
        <v>1131.3924123874024</v>
      </c>
      <c r="F20" s="33">
        <f>E20*$C$46</f>
        <v>1244.0790966611876</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60512.250653348747</v>
      </c>
      <c r="F23" s="30">
        <f>SUM(F24:F27)</f>
        <v>66539.270818422272</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19083.92959732595</v>
      </c>
      <c r="F25" s="33">
        <f>E25*$C$46</f>
        <v>20984.688985219615</v>
      </c>
    </row>
    <row r="26" spans="1:6" s="34" customFormat="1" ht="12.75" x14ac:dyDescent="0.25">
      <c r="A26" s="31" t="s">
        <v>78</v>
      </c>
      <c r="B26" s="92" t="s">
        <v>79</v>
      </c>
      <c r="C26" s="93"/>
      <c r="D26" s="32" t="s">
        <v>41</v>
      </c>
      <c r="E26" s="33">
        <v>41428.321056022796</v>
      </c>
      <c r="F26" s="33">
        <f>E26*$C$46</f>
        <v>45554.581833202661</v>
      </c>
    </row>
    <row r="27" spans="1:6" s="34" customFormat="1" ht="13.5" thickBot="1" x14ac:dyDescent="0.3">
      <c r="A27" s="35" t="s">
        <v>80</v>
      </c>
      <c r="B27" s="94" t="s">
        <v>81</v>
      </c>
      <c r="C27" s="95"/>
      <c r="D27" s="36" t="s">
        <v>41</v>
      </c>
      <c r="E27" s="37">
        <v>0</v>
      </c>
      <c r="F27" s="33">
        <f>E27*$C$46</f>
        <v>0</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1554592.3092835271</v>
      </c>
      <c r="F29" s="23">
        <f>SUM(F30:F33)</f>
        <v>1709429.7032881663</v>
      </c>
    </row>
    <row r="30" spans="1:6" x14ac:dyDescent="0.25">
      <c r="A30" s="41" t="s">
        <v>86</v>
      </c>
      <c r="B30" s="113" t="s">
        <v>87</v>
      </c>
      <c r="C30" s="114"/>
      <c r="D30" s="42" t="s">
        <v>41</v>
      </c>
      <c r="E30" s="43">
        <v>1499142.1556809894</v>
      </c>
      <c r="F30" s="33">
        <f>E30*$C$46</f>
        <v>1648456.7143868159</v>
      </c>
    </row>
    <row r="31" spans="1:6" x14ac:dyDescent="0.25">
      <c r="A31" s="41" t="s">
        <v>88</v>
      </c>
      <c r="B31" s="47" t="s">
        <v>89</v>
      </c>
      <c r="C31" s="48">
        <v>2.2499999999999999E-2</v>
      </c>
      <c r="D31" s="42" t="s">
        <v>41</v>
      </c>
      <c r="E31" s="43">
        <v>33730.698502822263</v>
      </c>
      <c r="F31" s="43">
        <f>F30*C31</f>
        <v>37090.276073703353</v>
      </c>
    </row>
    <row r="32" spans="1:6" x14ac:dyDescent="0.25">
      <c r="A32" s="41" t="s">
        <v>90</v>
      </c>
      <c r="B32" s="113" t="s">
        <v>91</v>
      </c>
      <c r="C32" s="114"/>
      <c r="D32" s="42" t="s">
        <v>41</v>
      </c>
      <c r="E32" s="43">
        <v>21719.455099715386</v>
      </c>
      <c r="F32" s="33">
        <f>E32*$C$46</f>
        <v>23882.712827647036</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2756019.8727589985</v>
      </c>
      <c r="F34" s="23">
        <f>SUM(F7,F29)</f>
        <v>3030519.4520857949</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2756019.8727589985</v>
      </c>
      <c r="F36" s="43">
        <f>F34+F35</f>
        <v>3030519.4520857949</v>
      </c>
    </row>
    <row r="37" spans="1:8" x14ac:dyDescent="0.25">
      <c r="A37" s="41" t="s">
        <v>100</v>
      </c>
      <c r="B37" s="47" t="s">
        <v>101</v>
      </c>
      <c r="C37" s="48">
        <f>'t3'!C37</f>
        <v>0.15</v>
      </c>
      <c r="D37" s="42" t="s">
        <v>41</v>
      </c>
      <c r="E37" s="43">
        <v>413402.98091384978</v>
      </c>
      <c r="F37" s="43">
        <f>C54</f>
        <v>454577.91781286913</v>
      </c>
    </row>
    <row r="38" spans="1:8" x14ac:dyDescent="0.25">
      <c r="A38" s="49" t="s">
        <v>102</v>
      </c>
      <c r="B38" s="50" t="s">
        <v>103</v>
      </c>
      <c r="C38" s="61">
        <f>F38/F39</f>
        <v>0.1353005889423563</v>
      </c>
      <c r="D38" s="5" t="s">
        <v>41</v>
      </c>
      <c r="E38" s="51">
        <v>3169422.8536728481</v>
      </c>
      <c r="F38" s="51">
        <f>F36+F37</f>
        <v>3485097.3698986638</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109</v>
      </c>
      <c r="E40" s="57">
        <v>168000</v>
      </c>
      <c r="F40" s="57">
        <f>C57</f>
        <v>168000</v>
      </c>
    </row>
    <row r="41" spans="1:8" s="24" customFormat="1" x14ac:dyDescent="0.25">
      <c r="A41" s="58" t="s">
        <v>107</v>
      </c>
      <c r="B41" s="120" t="s">
        <v>108</v>
      </c>
      <c r="C41" s="121"/>
      <c r="D41" s="59" t="s">
        <v>110</v>
      </c>
      <c r="E41" s="60">
        <v>18.865612224243144</v>
      </c>
      <c r="F41" s="60">
        <f>F38/F40</f>
        <v>20.74462720177776</v>
      </c>
    </row>
    <row r="42" spans="1:8" x14ac:dyDescent="0.25">
      <c r="B42" s="3" t="s">
        <v>191</v>
      </c>
    </row>
    <row r="46" spans="1:8" x14ac:dyDescent="0.25">
      <c r="B46" s="74" t="s">
        <v>127</v>
      </c>
      <c r="C46" s="75">
        <v>1.0995999999999999</v>
      </c>
    </row>
    <row r="47" spans="1:8" x14ac:dyDescent="0.25">
      <c r="B47" s="76" t="s">
        <v>128</v>
      </c>
      <c r="C47" s="77">
        <f>E34</f>
        <v>2756019.8727589985</v>
      </c>
    </row>
    <row r="48" spans="1:8" x14ac:dyDescent="0.25">
      <c r="B48" s="76" t="s">
        <v>129</v>
      </c>
      <c r="C48" s="77">
        <f>C47*C46</f>
        <v>3030519.4520857944</v>
      </c>
    </row>
    <row r="49" spans="2:6" x14ac:dyDescent="0.25">
      <c r="B49" s="76" t="s">
        <v>130</v>
      </c>
      <c r="C49" s="77">
        <f>E35</f>
        <v>0</v>
      </c>
    </row>
    <row r="50" spans="2:6" x14ac:dyDescent="0.25">
      <c r="B50" s="76" t="s">
        <v>131</v>
      </c>
      <c r="C50" s="77">
        <f>C49</f>
        <v>0</v>
      </c>
    </row>
    <row r="51" spans="2:6" x14ac:dyDescent="0.25">
      <c r="B51" s="76" t="s">
        <v>132</v>
      </c>
      <c r="C51" s="77">
        <f>C48+C50</f>
        <v>3030519.4520857944</v>
      </c>
    </row>
    <row r="52" spans="2:6" x14ac:dyDescent="0.25">
      <c r="B52" s="76" t="s">
        <v>133</v>
      </c>
      <c r="C52" s="75">
        <f>C37</f>
        <v>0.15</v>
      </c>
    </row>
    <row r="53" spans="2:6" x14ac:dyDescent="0.25">
      <c r="B53" s="76" t="s">
        <v>134</v>
      </c>
      <c r="C53" s="75">
        <f>C52</f>
        <v>0.15</v>
      </c>
    </row>
    <row r="54" spans="2:6" x14ac:dyDescent="0.25">
      <c r="B54" s="76" t="s">
        <v>135</v>
      </c>
      <c r="C54" s="77">
        <f>C51*C53</f>
        <v>454577.91781286913</v>
      </c>
    </row>
    <row r="55" spans="2:6" x14ac:dyDescent="0.25">
      <c r="B55" s="76" t="s">
        <v>136</v>
      </c>
      <c r="C55" s="77">
        <f>C51+C54</f>
        <v>3485097.3698986634</v>
      </c>
    </row>
    <row r="56" spans="2:6" x14ac:dyDescent="0.25">
      <c r="B56" s="76" t="s">
        <v>137</v>
      </c>
      <c r="C56" s="77">
        <f>E40</f>
        <v>168000</v>
      </c>
    </row>
    <row r="57" spans="2:6" x14ac:dyDescent="0.25">
      <c r="B57" s="76" t="s">
        <v>138</v>
      </c>
      <c r="C57" s="77">
        <f>C56</f>
        <v>168000</v>
      </c>
    </row>
    <row r="58" spans="2:6" x14ac:dyDescent="0.25">
      <c r="B58" s="74" t="s">
        <v>139</v>
      </c>
      <c r="C58" s="78">
        <f>C55/(C57)</f>
        <v>20.744627201777757</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8999999999999998" top="0.75" bottom="0.75" header="0.3" footer="0.3"/>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56B-E39F-42CB-92AB-2E5B80C8BC66}">
  <sheetPr>
    <pageSetUpPr fitToPage="1"/>
  </sheetPr>
  <dimension ref="A1:H83"/>
  <sheetViews>
    <sheetView topLeftCell="A33" workbookViewId="0">
      <selection activeCell="F46" sqref="F46"/>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170</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214841.6914560209</v>
      </c>
      <c r="F7" s="23">
        <f>SUM(F8,F9,F14,F15,F16,F17,F20,F21,F22,F23,F28)</f>
        <v>236239.92392504055</v>
      </c>
    </row>
    <row r="8" spans="1:6" ht="15.75" thickBot="1" x14ac:dyDescent="0.3">
      <c r="A8" s="25" t="s">
        <v>42</v>
      </c>
      <c r="B8" s="98" t="s">
        <v>43</v>
      </c>
      <c r="C8" s="99"/>
      <c r="D8" s="26" t="s">
        <v>41</v>
      </c>
      <c r="E8" s="27">
        <v>201391.43327640215</v>
      </c>
      <c r="F8" s="33">
        <f>E8*$C$46</f>
        <v>221450.0200307318</v>
      </c>
    </row>
    <row r="9" spans="1:6" x14ac:dyDescent="0.25">
      <c r="A9" s="28" t="s">
        <v>44</v>
      </c>
      <c r="B9" s="100" t="s">
        <v>45</v>
      </c>
      <c r="C9" s="101"/>
      <c r="D9" s="29" t="s">
        <v>41</v>
      </c>
      <c r="E9" s="30">
        <v>10492.8</v>
      </c>
      <c r="F9" s="30">
        <f>SUM(F10:F13)</f>
        <v>11537.882879999997</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10492.8</v>
      </c>
      <c r="F12" s="33">
        <f t="shared" si="0"/>
        <v>11537.882879999997</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800</v>
      </c>
      <c r="F14" s="33">
        <f t="shared" si="0"/>
        <v>879.68</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64.261425000000003</v>
      </c>
      <c r="F16" s="33">
        <f t="shared" si="0"/>
        <v>70.661862929999998</v>
      </c>
    </row>
    <row r="17" spans="1:6" x14ac:dyDescent="0.25">
      <c r="A17" s="28" t="s">
        <v>60</v>
      </c>
      <c r="B17" s="100" t="s">
        <v>61</v>
      </c>
      <c r="C17" s="101"/>
      <c r="D17" s="29" t="s">
        <v>41</v>
      </c>
      <c r="E17" s="30">
        <v>1400</v>
      </c>
      <c r="F17" s="30">
        <f>SUM(F18:F19)</f>
        <v>1539.4399999999998</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1400</v>
      </c>
      <c r="F19" s="33">
        <f>E19*$C$46</f>
        <v>1539.4399999999998</v>
      </c>
    </row>
    <row r="20" spans="1:6" ht="30.75" customHeight="1" x14ac:dyDescent="0.25">
      <c r="A20" s="38" t="s">
        <v>66</v>
      </c>
      <c r="B20" s="96" t="s">
        <v>67</v>
      </c>
      <c r="C20" s="97"/>
      <c r="D20" s="39" t="s">
        <v>41</v>
      </c>
      <c r="E20" s="40">
        <v>38.79059699613952</v>
      </c>
      <c r="F20" s="33">
        <f>E20*$C$46</f>
        <v>42.654140456955012</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654.40615762260416</v>
      </c>
      <c r="F23" s="30">
        <f>SUM(F24:F27)</f>
        <v>719.58501092181541</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654.30615762260413</v>
      </c>
      <c r="F25" s="33">
        <f>E25*$C$46</f>
        <v>719.47505092181541</v>
      </c>
    </row>
    <row r="26" spans="1:6" s="34" customFormat="1" ht="12.75" x14ac:dyDescent="0.25">
      <c r="A26" s="31" t="s">
        <v>78</v>
      </c>
      <c r="B26" s="92" t="s">
        <v>79</v>
      </c>
      <c r="C26" s="93"/>
      <c r="D26" s="32" t="s">
        <v>41</v>
      </c>
      <c r="E26" s="33">
        <v>0.1</v>
      </c>
      <c r="F26" s="33">
        <f>E26*$C$46</f>
        <v>0.10996</v>
      </c>
    </row>
    <row r="27" spans="1:6" s="34" customFormat="1" ht="13.5" thickBot="1" x14ac:dyDescent="0.3">
      <c r="A27" s="35" t="s">
        <v>80</v>
      </c>
      <c r="B27" s="94" t="s">
        <v>81</v>
      </c>
      <c r="C27" s="95"/>
      <c r="D27" s="36" t="s">
        <v>41</v>
      </c>
      <c r="E27" s="37">
        <v>0</v>
      </c>
      <c r="F27" s="33">
        <f>E27*$C$46</f>
        <v>0</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16113.823149649084</v>
      </c>
      <c r="F29" s="23">
        <f>SUM(F30:F33)</f>
        <v>17718.75993535413</v>
      </c>
    </row>
    <row r="30" spans="1:6" x14ac:dyDescent="0.25">
      <c r="A30" s="41" t="s">
        <v>86</v>
      </c>
      <c r="B30" s="113" t="s">
        <v>87</v>
      </c>
      <c r="C30" s="114"/>
      <c r="D30" s="42" t="s">
        <v>41</v>
      </c>
      <c r="E30" s="43">
        <v>15467.0108217209</v>
      </c>
      <c r="F30" s="33">
        <f>E30*$C$46</f>
        <v>17007.5250995643</v>
      </c>
    </row>
    <row r="31" spans="1:6" x14ac:dyDescent="0.25">
      <c r="A31" s="41" t="s">
        <v>88</v>
      </c>
      <c r="B31" s="47" t="s">
        <v>89</v>
      </c>
      <c r="C31" s="48">
        <v>2.2499999999999999E-2</v>
      </c>
      <c r="D31" s="42" t="s">
        <v>41</v>
      </c>
      <c r="E31" s="43">
        <v>348.00774348872022</v>
      </c>
      <c r="F31" s="43">
        <f>F30*C31</f>
        <v>382.66931474019674</v>
      </c>
    </row>
    <row r="32" spans="1:6" x14ac:dyDescent="0.25">
      <c r="A32" s="41" t="s">
        <v>90</v>
      </c>
      <c r="B32" s="113" t="s">
        <v>91</v>
      </c>
      <c r="C32" s="114"/>
      <c r="D32" s="42" t="s">
        <v>41</v>
      </c>
      <c r="E32" s="43">
        <v>298.80458443946304</v>
      </c>
      <c r="F32" s="33">
        <f>E32*$C$46</f>
        <v>328.56552104963356</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230955.51460566997</v>
      </c>
      <c r="F34" s="23">
        <f>SUM(F7,F29)</f>
        <v>253958.6838603947</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230955.51460566997</v>
      </c>
      <c r="F36" s="43">
        <f>F34+F35</f>
        <v>253958.6838603947</v>
      </c>
    </row>
    <row r="37" spans="1:8" x14ac:dyDescent="0.25">
      <c r="A37" s="41" t="s">
        <v>100</v>
      </c>
      <c r="B37" s="47" t="s">
        <v>101</v>
      </c>
      <c r="C37" s="48">
        <f>'t2'!C37</f>
        <v>1E-3</v>
      </c>
      <c r="D37" s="42" t="s">
        <v>41</v>
      </c>
      <c r="E37" s="43">
        <v>230.95551460566998</v>
      </c>
      <c r="F37" s="43">
        <f>C54</f>
        <v>253.9586838603947</v>
      </c>
    </row>
    <row r="38" spans="1:8" x14ac:dyDescent="0.25">
      <c r="A38" s="49" t="s">
        <v>102</v>
      </c>
      <c r="B38" s="50" t="s">
        <v>103</v>
      </c>
      <c r="C38" s="61">
        <f>F38/F39</f>
        <v>9.8691992223535838E-3</v>
      </c>
      <c r="D38" s="5" t="s">
        <v>41</v>
      </c>
      <c r="E38" s="51">
        <v>231186.47012027566</v>
      </c>
      <c r="F38" s="51">
        <f>F36+F37</f>
        <v>254212.6425442551</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109</v>
      </c>
      <c r="E40" s="57">
        <v>4800</v>
      </c>
      <c r="F40" s="57">
        <f>C57</f>
        <v>4800</v>
      </c>
    </row>
    <row r="41" spans="1:8" s="24" customFormat="1" x14ac:dyDescent="0.25">
      <c r="A41" s="58" t="s">
        <v>107</v>
      </c>
      <c r="B41" s="120" t="s">
        <v>108</v>
      </c>
      <c r="C41" s="121"/>
      <c r="D41" s="59" t="s">
        <v>110</v>
      </c>
      <c r="E41" s="60">
        <v>48.163847941724093</v>
      </c>
      <c r="F41" s="60">
        <f>F38/F40</f>
        <v>52.960967196719814</v>
      </c>
    </row>
    <row r="42" spans="1:8" x14ac:dyDescent="0.25">
      <c r="B42" s="3" t="s">
        <v>191</v>
      </c>
    </row>
    <row r="46" spans="1:8" x14ac:dyDescent="0.25">
      <c r="B46" s="74" t="s">
        <v>127</v>
      </c>
      <c r="C46" s="75">
        <v>1.0995999999999999</v>
      </c>
    </row>
    <row r="47" spans="1:8" x14ac:dyDescent="0.25">
      <c r="B47" s="76" t="s">
        <v>128</v>
      </c>
      <c r="C47" s="77">
        <f>E34</f>
        <v>230955.51460566997</v>
      </c>
    </row>
    <row r="48" spans="1:8" x14ac:dyDescent="0.25">
      <c r="B48" s="76" t="s">
        <v>129</v>
      </c>
      <c r="C48" s="77">
        <f>C47*C46</f>
        <v>253958.6838603947</v>
      </c>
    </row>
    <row r="49" spans="2:6" x14ac:dyDescent="0.25">
      <c r="B49" s="76" t="s">
        <v>130</v>
      </c>
      <c r="C49" s="77">
        <f>E35</f>
        <v>0</v>
      </c>
    </row>
    <row r="50" spans="2:6" x14ac:dyDescent="0.25">
      <c r="B50" s="76" t="s">
        <v>131</v>
      </c>
      <c r="C50" s="77">
        <f>C49</f>
        <v>0</v>
      </c>
    </row>
    <row r="51" spans="2:6" x14ac:dyDescent="0.25">
      <c r="B51" s="76" t="s">
        <v>132</v>
      </c>
      <c r="C51" s="77">
        <f>C48+C50</f>
        <v>253958.6838603947</v>
      </c>
    </row>
    <row r="52" spans="2:6" x14ac:dyDescent="0.25">
      <c r="B52" s="76" t="s">
        <v>133</v>
      </c>
      <c r="C52" s="75">
        <f>C37</f>
        <v>1E-3</v>
      </c>
    </row>
    <row r="53" spans="2:6" x14ac:dyDescent="0.25">
      <c r="B53" s="76" t="s">
        <v>134</v>
      </c>
      <c r="C53" s="75">
        <f>C52</f>
        <v>1E-3</v>
      </c>
    </row>
    <row r="54" spans="2:6" x14ac:dyDescent="0.25">
      <c r="B54" s="76" t="s">
        <v>135</v>
      </c>
      <c r="C54" s="77">
        <f>C51*C53</f>
        <v>253.9586838603947</v>
      </c>
    </row>
    <row r="55" spans="2:6" x14ac:dyDescent="0.25">
      <c r="B55" s="76" t="s">
        <v>136</v>
      </c>
      <c r="C55" s="77">
        <f>C51+C54</f>
        <v>254212.6425442551</v>
      </c>
    </row>
    <row r="56" spans="2:6" x14ac:dyDescent="0.25">
      <c r="B56" s="76" t="s">
        <v>137</v>
      </c>
      <c r="C56" s="77">
        <f>E40</f>
        <v>4800</v>
      </c>
    </row>
    <row r="57" spans="2:6" x14ac:dyDescent="0.25">
      <c r="B57" s="76" t="s">
        <v>138</v>
      </c>
      <c r="C57" s="77">
        <f>C56</f>
        <v>4800</v>
      </c>
    </row>
    <row r="58" spans="2:6" x14ac:dyDescent="0.25">
      <c r="B58" s="74" t="s">
        <v>139</v>
      </c>
      <c r="C58" s="78">
        <f>C55/(C57)</f>
        <v>52.960967196719814</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19" top="0.75" bottom="0.75" header="0.3" footer="0.3"/>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B26C-C986-4022-A4AA-D1555AA88257}">
  <sheetPr>
    <pageSetUpPr fitToPage="1"/>
  </sheetPr>
  <dimension ref="A1:H83"/>
  <sheetViews>
    <sheetView topLeftCell="A27" workbookViewId="0">
      <selection activeCell="E46" sqref="E46"/>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171</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69808.838498916652</v>
      </c>
      <c r="F7" s="23">
        <f>SUM(F8,F9,F14,F15,F16,F17,F20,F21,F22,F23,F28)</f>
        <v>76761.798813408735</v>
      </c>
    </row>
    <row r="8" spans="1:6" ht="15.75" thickBot="1" x14ac:dyDescent="0.3">
      <c r="A8" s="25" t="s">
        <v>42</v>
      </c>
      <c r="B8" s="98" t="s">
        <v>43</v>
      </c>
      <c r="C8" s="99"/>
      <c r="D8" s="26" t="s">
        <v>41</v>
      </c>
      <c r="E8" s="27">
        <v>12658.890091659563</v>
      </c>
      <c r="F8" s="33">
        <f>E8*$C$46</f>
        <v>13919.715544788854</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2000</v>
      </c>
      <c r="F14" s="33">
        <f t="shared" si="0"/>
        <v>2199.1999999999998</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1862.65</v>
      </c>
      <c r="F16" s="33">
        <f t="shared" si="0"/>
        <v>2048.1699399999998</v>
      </c>
    </row>
    <row r="17" spans="1:6" x14ac:dyDescent="0.25">
      <c r="A17" s="28" t="s">
        <v>60</v>
      </c>
      <c r="B17" s="100" t="s">
        <v>61</v>
      </c>
      <c r="C17" s="101"/>
      <c r="D17" s="29" t="s">
        <v>41</v>
      </c>
      <c r="E17" s="30">
        <v>3500</v>
      </c>
      <c r="F17" s="30">
        <f>SUM(F18:F19)</f>
        <v>3848.6</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3500</v>
      </c>
      <c r="F19" s="33">
        <f>E19*$C$46</f>
        <v>3848.6</v>
      </c>
    </row>
    <row r="20" spans="1:6" ht="30.75" customHeight="1" x14ac:dyDescent="0.25">
      <c r="A20" s="38" t="s">
        <v>66</v>
      </c>
      <c r="B20" s="96" t="s">
        <v>67</v>
      </c>
      <c r="C20" s="97"/>
      <c r="D20" s="39" t="s">
        <v>41</v>
      </c>
      <c r="E20" s="40">
        <v>6041.2428907735648</v>
      </c>
      <c r="F20" s="33">
        <f>E20*$C$46</f>
        <v>6642.9506826946117</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6792.2055164835156</v>
      </c>
      <c r="F23" s="30">
        <f>SUM(F24:F27)</f>
        <v>7468.7091859252723</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0</v>
      </c>
      <c r="F25" s="33">
        <f>E25*$C$46</f>
        <v>0</v>
      </c>
    </row>
    <row r="26" spans="1:6" s="34" customFormat="1" ht="12.75" x14ac:dyDescent="0.25">
      <c r="A26" s="31" t="s">
        <v>78</v>
      </c>
      <c r="B26" s="92" t="s">
        <v>79</v>
      </c>
      <c r="C26" s="93"/>
      <c r="D26" s="32" t="s">
        <v>41</v>
      </c>
      <c r="E26" s="33">
        <v>5992.4835164835158</v>
      </c>
      <c r="F26" s="33">
        <f>E26*$C$46</f>
        <v>6589.334874725273</v>
      </c>
    </row>
    <row r="27" spans="1:6" s="34" customFormat="1" ht="13.5" thickBot="1" x14ac:dyDescent="0.3">
      <c r="A27" s="35" t="s">
        <v>80</v>
      </c>
      <c r="B27" s="94" t="s">
        <v>81</v>
      </c>
      <c r="C27" s="95"/>
      <c r="D27" s="36" t="s">
        <v>41</v>
      </c>
      <c r="E27" s="37">
        <v>799.72199999999987</v>
      </c>
      <c r="F27" s="33">
        <f>E27*$C$46</f>
        <v>879.37431119999974</v>
      </c>
    </row>
    <row r="28" spans="1:6" ht="31.5" customHeight="1" thickBot="1" x14ac:dyDescent="0.3">
      <c r="A28" s="44" t="s">
        <v>82</v>
      </c>
      <c r="B28" s="122" t="s">
        <v>83</v>
      </c>
      <c r="C28" s="123"/>
      <c r="D28" s="45" t="s">
        <v>41</v>
      </c>
      <c r="E28" s="46">
        <v>36953.850000000006</v>
      </c>
      <c r="F28" s="33">
        <f>E28*$C$46</f>
        <v>40634.453460000004</v>
      </c>
    </row>
    <row r="29" spans="1:6" s="24" customFormat="1" ht="14.25" x14ac:dyDescent="0.25">
      <c r="A29" s="21" t="s">
        <v>84</v>
      </c>
      <c r="B29" s="111" t="s">
        <v>85</v>
      </c>
      <c r="C29" s="112"/>
      <c r="D29" s="22" t="s">
        <v>41</v>
      </c>
      <c r="E29" s="23">
        <v>317828.16113331076</v>
      </c>
      <c r="F29" s="23">
        <f>SUM(F30:F33)</f>
        <v>349483.84598218848</v>
      </c>
    </row>
    <row r="30" spans="1:6" x14ac:dyDescent="0.25">
      <c r="A30" s="41" t="s">
        <v>86</v>
      </c>
      <c r="B30" s="113" t="s">
        <v>87</v>
      </c>
      <c r="C30" s="114"/>
      <c r="D30" s="42" t="s">
        <v>41</v>
      </c>
      <c r="E30" s="43">
        <v>302233.43713290838</v>
      </c>
      <c r="F30" s="33">
        <f>E30*$C$46</f>
        <v>332335.88747134601</v>
      </c>
    </row>
    <row r="31" spans="1:6" x14ac:dyDescent="0.25">
      <c r="A31" s="41" t="s">
        <v>88</v>
      </c>
      <c r="B31" s="47" t="s">
        <v>89</v>
      </c>
      <c r="C31" s="48">
        <v>2.2499999999999999E-2</v>
      </c>
      <c r="D31" s="42" t="s">
        <v>41</v>
      </c>
      <c r="E31" s="43">
        <v>6800.2523354904379</v>
      </c>
      <c r="F31" s="43">
        <f>F30*C31</f>
        <v>7477.5574681052849</v>
      </c>
    </row>
    <row r="32" spans="1:6" x14ac:dyDescent="0.25">
      <c r="A32" s="41" t="s">
        <v>90</v>
      </c>
      <c r="B32" s="113" t="s">
        <v>91</v>
      </c>
      <c r="C32" s="114"/>
      <c r="D32" s="42" t="s">
        <v>41</v>
      </c>
      <c r="E32" s="43">
        <v>8794.4716649119709</v>
      </c>
      <c r="F32" s="33">
        <f>E32*$C$46</f>
        <v>9670.4010427372032</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387636.99963222741</v>
      </c>
      <c r="F34" s="23">
        <f>SUM(F7,F29)</f>
        <v>426245.64479559718</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387636.99963222741</v>
      </c>
      <c r="F36" s="43">
        <f>F34+F35</f>
        <v>426245.64479559718</v>
      </c>
    </row>
    <row r="37" spans="1:8" x14ac:dyDescent="0.25">
      <c r="A37" s="41" t="s">
        <v>100</v>
      </c>
      <c r="B37" s="47" t="s">
        <v>101</v>
      </c>
      <c r="C37" s="48">
        <f>'t5'!C37</f>
        <v>1E-3</v>
      </c>
      <c r="D37" s="42" t="s">
        <v>41</v>
      </c>
      <c r="E37" s="43">
        <v>387.6369996322274</v>
      </c>
      <c r="F37" s="43">
        <f>C54</f>
        <v>426.24564479559723</v>
      </c>
    </row>
    <row r="38" spans="1:8" x14ac:dyDescent="0.25">
      <c r="A38" s="49" t="s">
        <v>102</v>
      </c>
      <c r="B38" s="50" t="s">
        <v>103</v>
      </c>
      <c r="C38" s="61">
        <f>F38/F39</f>
        <v>1.6564517984589983E-2</v>
      </c>
      <c r="D38" s="5" t="s">
        <v>41</v>
      </c>
      <c r="E38" s="51">
        <v>388024.63663185964</v>
      </c>
      <c r="F38" s="51">
        <f>F36+F37</f>
        <v>426671.89044039277</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113</v>
      </c>
      <c r="E40" s="57">
        <v>240000</v>
      </c>
      <c r="F40" s="57">
        <f>C57</f>
        <v>240000</v>
      </c>
    </row>
    <row r="41" spans="1:8" s="24" customFormat="1" x14ac:dyDescent="0.25">
      <c r="A41" s="58" t="s">
        <v>107</v>
      </c>
      <c r="B41" s="120" t="s">
        <v>108</v>
      </c>
      <c r="C41" s="121"/>
      <c r="D41" s="59" t="s">
        <v>114</v>
      </c>
      <c r="E41" s="60">
        <v>1.6167693192994153</v>
      </c>
      <c r="F41" s="60">
        <f>F38/F40</f>
        <v>1.7777995435016365</v>
      </c>
    </row>
    <row r="42" spans="1:8" x14ac:dyDescent="0.25">
      <c r="B42" s="3" t="s">
        <v>191</v>
      </c>
    </row>
    <row r="46" spans="1:8" x14ac:dyDescent="0.25">
      <c r="B46" s="74" t="s">
        <v>127</v>
      </c>
      <c r="C46" s="75">
        <v>1.0995999999999999</v>
      </c>
    </row>
    <row r="47" spans="1:8" x14ac:dyDescent="0.25">
      <c r="B47" s="76" t="s">
        <v>128</v>
      </c>
      <c r="C47" s="77">
        <f>E34</f>
        <v>387636.99963222741</v>
      </c>
    </row>
    <row r="48" spans="1:8" x14ac:dyDescent="0.25">
      <c r="B48" s="76" t="s">
        <v>129</v>
      </c>
      <c r="C48" s="77">
        <f>C47*C46</f>
        <v>426245.64479559724</v>
      </c>
    </row>
    <row r="49" spans="2:6" x14ac:dyDescent="0.25">
      <c r="B49" s="76" t="s">
        <v>130</v>
      </c>
      <c r="C49" s="77">
        <f>E35</f>
        <v>0</v>
      </c>
    </row>
    <row r="50" spans="2:6" x14ac:dyDescent="0.25">
      <c r="B50" s="76" t="s">
        <v>131</v>
      </c>
      <c r="C50" s="77">
        <f>C49</f>
        <v>0</v>
      </c>
    </row>
    <row r="51" spans="2:6" x14ac:dyDescent="0.25">
      <c r="B51" s="76" t="s">
        <v>132</v>
      </c>
      <c r="C51" s="77">
        <f>C48+C50</f>
        <v>426245.64479559724</v>
      </c>
    </row>
    <row r="52" spans="2:6" x14ac:dyDescent="0.25">
      <c r="B52" s="76" t="s">
        <v>133</v>
      </c>
      <c r="C52" s="75">
        <f>C37</f>
        <v>1E-3</v>
      </c>
    </row>
    <row r="53" spans="2:6" x14ac:dyDescent="0.25">
      <c r="B53" s="76" t="s">
        <v>134</v>
      </c>
      <c r="C53" s="75">
        <f>C52</f>
        <v>1E-3</v>
      </c>
    </row>
    <row r="54" spans="2:6" x14ac:dyDescent="0.25">
      <c r="B54" s="76" t="s">
        <v>135</v>
      </c>
      <c r="C54" s="77">
        <f>C51*C53</f>
        <v>426.24564479559723</v>
      </c>
    </row>
    <row r="55" spans="2:6" x14ac:dyDescent="0.25">
      <c r="B55" s="76" t="s">
        <v>136</v>
      </c>
      <c r="C55" s="77">
        <f>C51+C54</f>
        <v>426671.89044039283</v>
      </c>
    </row>
    <row r="56" spans="2:6" x14ac:dyDescent="0.25">
      <c r="B56" s="76" t="s">
        <v>137</v>
      </c>
      <c r="C56" s="77">
        <f>E40</f>
        <v>240000</v>
      </c>
    </row>
    <row r="57" spans="2:6" x14ac:dyDescent="0.25">
      <c r="B57" s="76" t="s">
        <v>138</v>
      </c>
      <c r="C57" s="77">
        <f>C56</f>
        <v>240000</v>
      </c>
    </row>
    <row r="58" spans="2:6" x14ac:dyDescent="0.25">
      <c r="B58" s="74" t="s">
        <v>139</v>
      </c>
      <c r="C58" s="78">
        <f>C55/(C57)</f>
        <v>1.7777995435016367</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18" top="0.75" bottom="0.75" header="0.3" footer="0.3"/>
  <pageSetup paperSize="9" scale="8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AB93-D1DD-43EB-AC0A-92074C4987F8}">
  <sheetPr>
    <pageSetUpPr fitToPage="1"/>
  </sheetPr>
  <dimension ref="A1:H83"/>
  <sheetViews>
    <sheetView topLeftCell="A27" workbookViewId="0">
      <selection activeCell="E48" sqref="E48"/>
    </sheetView>
  </sheetViews>
  <sheetFormatPr defaultRowHeight="15" x14ac:dyDescent="0.25"/>
  <cols>
    <col min="1" max="1" width="6.5703125" style="15" customWidth="1"/>
    <col min="2" max="2" width="50.7109375" style="15" customWidth="1"/>
    <col min="3" max="3" width="11.5703125" style="15" bestFit="1" customWidth="1"/>
    <col min="4" max="4" width="12.140625" style="16" customWidth="1"/>
    <col min="5" max="5" width="15.7109375" style="16" customWidth="1"/>
    <col min="6" max="6" width="14.28515625" style="15" bestFit="1" customWidth="1"/>
    <col min="7" max="7" width="9.140625" style="15"/>
    <col min="8" max="8" width="11.85546875" style="15" bestFit="1" customWidth="1"/>
    <col min="9" max="16384" width="9.140625" style="15"/>
  </cols>
  <sheetData>
    <row r="1" spans="1:6" ht="15.75" hidden="1" thickBot="1" x14ac:dyDescent="0.3">
      <c r="A1" s="15" t="s">
        <v>35</v>
      </c>
    </row>
    <row r="2" spans="1:6" ht="15.75" hidden="1" thickBot="1" x14ac:dyDescent="0.3">
      <c r="A2" s="104" t="s">
        <v>36</v>
      </c>
      <c r="B2" s="104"/>
      <c r="C2" s="104"/>
      <c r="D2" s="104"/>
      <c r="E2" s="104"/>
      <c r="F2" s="104"/>
    </row>
    <row r="3" spans="1:6" ht="15.75" hidden="1" thickBot="1" x14ac:dyDescent="0.3"/>
    <row r="4" spans="1:6" ht="43.15" hidden="1" customHeight="1" thickBot="1" x14ac:dyDescent="0.3">
      <c r="A4" s="105" t="s">
        <v>37</v>
      </c>
      <c r="B4" s="105"/>
      <c r="C4" s="105"/>
      <c r="D4" s="105"/>
      <c r="E4" s="105"/>
      <c r="F4" s="105"/>
    </row>
    <row r="5" spans="1:6" ht="48" customHeight="1" thickBot="1" x14ac:dyDescent="0.3">
      <c r="A5" s="106" t="s">
        <v>172</v>
      </c>
      <c r="B5" s="107"/>
      <c r="C5" s="107"/>
      <c r="D5" s="107"/>
      <c r="E5" s="107"/>
      <c r="F5" s="108"/>
    </row>
    <row r="6" spans="1:6" ht="43.5" thickBot="1" x14ac:dyDescent="0.3">
      <c r="A6" s="17" t="s">
        <v>0</v>
      </c>
      <c r="B6" s="109" t="s">
        <v>38</v>
      </c>
      <c r="C6" s="110"/>
      <c r="D6" s="19" t="s">
        <v>39</v>
      </c>
      <c r="E6" s="18" t="s">
        <v>121</v>
      </c>
      <c r="F6" s="20" t="s">
        <v>122</v>
      </c>
    </row>
    <row r="7" spans="1:6" s="24" customFormat="1" ht="14.25" x14ac:dyDescent="0.25">
      <c r="A7" s="21">
        <v>1</v>
      </c>
      <c r="B7" s="111" t="s">
        <v>40</v>
      </c>
      <c r="C7" s="112"/>
      <c r="D7" s="22" t="s">
        <v>41</v>
      </c>
      <c r="E7" s="23">
        <v>96992.624777285717</v>
      </c>
      <c r="F7" s="23">
        <f>SUM(F8,F9,F14,F15,F16,F17,F20,F21,F22,F23,F28)</f>
        <v>106653.09020510336</v>
      </c>
    </row>
    <row r="8" spans="1:6" ht="15.75" thickBot="1" x14ac:dyDescent="0.3">
      <c r="A8" s="25" t="s">
        <v>42</v>
      </c>
      <c r="B8" s="98" t="s">
        <v>43</v>
      </c>
      <c r="C8" s="99"/>
      <c r="D8" s="26" t="s">
        <v>41</v>
      </c>
      <c r="E8" s="27">
        <v>76816.44669257052</v>
      </c>
      <c r="F8" s="33">
        <f>E8*$C$46</f>
        <v>84467.364783150537</v>
      </c>
    </row>
    <row r="9" spans="1:6" x14ac:dyDescent="0.25">
      <c r="A9" s="28" t="s">
        <v>44</v>
      </c>
      <c r="B9" s="100" t="s">
        <v>45</v>
      </c>
      <c r="C9" s="101"/>
      <c r="D9" s="29" t="s">
        <v>41</v>
      </c>
      <c r="E9" s="30">
        <v>0</v>
      </c>
      <c r="F9" s="30">
        <f>SUM(F10:F13)</f>
        <v>0</v>
      </c>
    </row>
    <row r="10" spans="1:6" s="34" customFormat="1" ht="12.75" x14ac:dyDescent="0.25">
      <c r="A10" s="31" t="s">
        <v>46</v>
      </c>
      <c r="B10" s="92" t="s">
        <v>47</v>
      </c>
      <c r="C10" s="93"/>
      <c r="D10" s="32" t="s">
        <v>41</v>
      </c>
      <c r="E10" s="33">
        <v>0</v>
      </c>
      <c r="F10" s="33">
        <f t="shared" ref="F10:F16" si="0">E10*$C$46</f>
        <v>0</v>
      </c>
    </row>
    <row r="11" spans="1:6" s="34" customFormat="1" ht="12.75" x14ac:dyDescent="0.25">
      <c r="A11" s="31" t="s">
        <v>48</v>
      </c>
      <c r="B11" s="92" t="s">
        <v>49</v>
      </c>
      <c r="C11" s="93"/>
      <c r="D11" s="32" t="s">
        <v>41</v>
      </c>
      <c r="E11" s="33">
        <v>0</v>
      </c>
      <c r="F11" s="33">
        <f t="shared" si="0"/>
        <v>0</v>
      </c>
    </row>
    <row r="12" spans="1:6" s="34" customFormat="1" ht="12.75" x14ac:dyDescent="0.25">
      <c r="A12" s="31" t="s">
        <v>50</v>
      </c>
      <c r="B12" s="92" t="s">
        <v>51</v>
      </c>
      <c r="C12" s="93"/>
      <c r="D12" s="32" t="s">
        <v>41</v>
      </c>
      <c r="E12" s="33">
        <v>0</v>
      </c>
      <c r="F12" s="33">
        <f t="shared" si="0"/>
        <v>0</v>
      </c>
    </row>
    <row r="13" spans="1:6" s="34" customFormat="1" ht="13.5" thickBot="1" x14ac:dyDescent="0.3">
      <c r="A13" s="35" t="s">
        <v>52</v>
      </c>
      <c r="B13" s="94" t="s">
        <v>53</v>
      </c>
      <c r="C13" s="95"/>
      <c r="D13" s="36" t="s">
        <v>41</v>
      </c>
      <c r="E13" s="37">
        <v>0</v>
      </c>
      <c r="F13" s="33">
        <f t="shared" si="0"/>
        <v>0</v>
      </c>
    </row>
    <row r="14" spans="1:6" ht="29.25" customHeight="1" x14ac:dyDescent="0.25">
      <c r="A14" s="38" t="s">
        <v>54</v>
      </c>
      <c r="B14" s="96" t="s">
        <v>55</v>
      </c>
      <c r="C14" s="97"/>
      <c r="D14" s="39" t="s">
        <v>41</v>
      </c>
      <c r="E14" s="40">
        <v>3000</v>
      </c>
      <c r="F14" s="33">
        <f t="shared" si="0"/>
        <v>3298.7999999999997</v>
      </c>
    </row>
    <row r="15" spans="1:6" x14ac:dyDescent="0.25">
      <c r="A15" s="41" t="s">
        <v>56</v>
      </c>
      <c r="B15" s="113" t="s">
        <v>57</v>
      </c>
      <c r="C15" s="114"/>
      <c r="D15" s="42" t="s">
        <v>41</v>
      </c>
      <c r="E15" s="43">
        <v>0</v>
      </c>
      <c r="F15" s="33">
        <f t="shared" si="0"/>
        <v>0</v>
      </c>
    </row>
    <row r="16" spans="1:6" ht="15.75" thickBot="1" x14ac:dyDescent="0.3">
      <c r="A16" s="25" t="s">
        <v>58</v>
      </c>
      <c r="B16" s="98" t="s">
        <v>59</v>
      </c>
      <c r="C16" s="99"/>
      <c r="D16" s="26" t="s">
        <v>41</v>
      </c>
      <c r="E16" s="27">
        <v>588.59739999999999</v>
      </c>
      <c r="F16" s="33">
        <f t="shared" si="0"/>
        <v>647.22170103999997</v>
      </c>
    </row>
    <row r="17" spans="1:6" x14ac:dyDescent="0.25">
      <c r="A17" s="28" t="s">
        <v>60</v>
      </c>
      <c r="B17" s="100" t="s">
        <v>61</v>
      </c>
      <c r="C17" s="101"/>
      <c r="D17" s="29" t="s">
        <v>41</v>
      </c>
      <c r="E17" s="30">
        <v>5250</v>
      </c>
      <c r="F17" s="30">
        <f>SUM(F18:F19)</f>
        <v>5772.9</v>
      </c>
    </row>
    <row r="18" spans="1:6" s="34" customFormat="1" ht="12.75" x14ac:dyDescent="0.25">
      <c r="A18" s="31" t="s">
        <v>62</v>
      </c>
      <c r="B18" s="92" t="s">
        <v>63</v>
      </c>
      <c r="C18" s="93"/>
      <c r="D18" s="32" t="s">
        <v>41</v>
      </c>
      <c r="E18" s="33">
        <v>0</v>
      </c>
      <c r="F18" s="33">
        <f>E18*$C$46</f>
        <v>0</v>
      </c>
    </row>
    <row r="19" spans="1:6" s="34" customFormat="1" ht="13.5" thickBot="1" x14ac:dyDescent="0.3">
      <c r="A19" s="35" t="s">
        <v>64</v>
      </c>
      <c r="B19" s="94" t="s">
        <v>65</v>
      </c>
      <c r="C19" s="95"/>
      <c r="D19" s="36" t="s">
        <v>41</v>
      </c>
      <c r="E19" s="37">
        <v>5250</v>
      </c>
      <c r="F19" s="33">
        <f>E19*$C$46</f>
        <v>5772.9</v>
      </c>
    </row>
    <row r="20" spans="1:6" ht="30.75" customHeight="1" x14ac:dyDescent="0.25">
      <c r="A20" s="38" t="s">
        <v>66</v>
      </c>
      <c r="B20" s="96" t="s">
        <v>67</v>
      </c>
      <c r="C20" s="97"/>
      <c r="D20" s="39" t="s">
        <v>41</v>
      </c>
      <c r="E20" s="40">
        <v>3416.6087897223733</v>
      </c>
      <c r="F20" s="33">
        <f>E20*$C$46</f>
        <v>3756.9030251787212</v>
      </c>
    </row>
    <row r="21" spans="1:6" x14ac:dyDescent="0.25">
      <c r="A21" s="41" t="s">
        <v>68</v>
      </c>
      <c r="B21" s="113" t="s">
        <v>69</v>
      </c>
      <c r="C21" s="114"/>
      <c r="D21" s="42" t="s">
        <v>41</v>
      </c>
      <c r="E21" s="43">
        <v>0</v>
      </c>
      <c r="F21" s="33">
        <f>E21*$C$46</f>
        <v>0</v>
      </c>
    </row>
    <row r="22" spans="1:6" ht="15.75" thickBot="1" x14ac:dyDescent="0.3">
      <c r="A22" s="41" t="s">
        <v>70</v>
      </c>
      <c r="B22" s="113" t="s">
        <v>71</v>
      </c>
      <c r="C22" s="114"/>
      <c r="D22" s="42" t="s">
        <v>41</v>
      </c>
      <c r="E22" s="43">
        <v>0</v>
      </c>
      <c r="F22" s="33">
        <f>E22*$C$46</f>
        <v>0</v>
      </c>
    </row>
    <row r="23" spans="1:6" x14ac:dyDescent="0.25">
      <c r="A23" s="28" t="s">
        <v>72</v>
      </c>
      <c r="B23" s="100" t="s">
        <v>73</v>
      </c>
      <c r="C23" s="101"/>
      <c r="D23" s="29" t="s">
        <v>41</v>
      </c>
      <c r="E23" s="30">
        <v>7920.9718949928201</v>
      </c>
      <c r="F23" s="30">
        <f>SUM(F24:F27)</f>
        <v>8709.9006957341044</v>
      </c>
    </row>
    <row r="24" spans="1:6" s="34" customFormat="1" ht="12.75" x14ac:dyDescent="0.25">
      <c r="A24" s="31" t="s">
        <v>74</v>
      </c>
      <c r="B24" s="92" t="s">
        <v>75</v>
      </c>
      <c r="C24" s="93"/>
      <c r="D24" s="32" t="s">
        <v>41</v>
      </c>
      <c r="E24" s="33">
        <v>0</v>
      </c>
      <c r="F24" s="33">
        <f>E24*$C$46</f>
        <v>0</v>
      </c>
    </row>
    <row r="25" spans="1:6" s="34" customFormat="1" ht="12.75" x14ac:dyDescent="0.25">
      <c r="A25" s="31" t="s">
        <v>76</v>
      </c>
      <c r="B25" s="118" t="s">
        <v>77</v>
      </c>
      <c r="C25" s="119"/>
      <c r="D25" s="32" t="s">
        <v>41</v>
      </c>
      <c r="E25" s="33">
        <v>4022.3305551187295</v>
      </c>
      <c r="F25" s="33">
        <f>E25*$C$46</f>
        <v>4422.9546784085551</v>
      </c>
    </row>
    <row r="26" spans="1:6" s="34" customFormat="1" ht="12.75" x14ac:dyDescent="0.25">
      <c r="A26" s="31" t="s">
        <v>78</v>
      </c>
      <c r="B26" s="92" t="s">
        <v>79</v>
      </c>
      <c r="C26" s="93"/>
      <c r="D26" s="32" t="s">
        <v>41</v>
      </c>
      <c r="E26" s="33">
        <v>3738.6969398740903</v>
      </c>
      <c r="F26" s="33">
        <f>E26*$C$46</f>
        <v>4111.0711550855494</v>
      </c>
    </row>
    <row r="27" spans="1:6" s="34" customFormat="1" ht="13.5" thickBot="1" x14ac:dyDescent="0.3">
      <c r="A27" s="35" t="s">
        <v>80</v>
      </c>
      <c r="B27" s="94" t="s">
        <v>81</v>
      </c>
      <c r="C27" s="95"/>
      <c r="D27" s="36" t="s">
        <v>41</v>
      </c>
      <c r="E27" s="37">
        <v>159.9444</v>
      </c>
      <c r="F27" s="33">
        <f>E27*$C$46</f>
        <v>175.87486224</v>
      </c>
    </row>
    <row r="28" spans="1:6" ht="31.5" customHeight="1" thickBot="1" x14ac:dyDescent="0.3">
      <c r="A28" s="44" t="s">
        <v>82</v>
      </c>
      <c r="B28" s="122" t="s">
        <v>83</v>
      </c>
      <c r="C28" s="123"/>
      <c r="D28" s="45" t="s">
        <v>41</v>
      </c>
      <c r="E28" s="46">
        <v>0</v>
      </c>
      <c r="F28" s="33">
        <f>E28*$C$46</f>
        <v>0</v>
      </c>
    </row>
    <row r="29" spans="1:6" s="24" customFormat="1" ht="14.25" x14ac:dyDescent="0.25">
      <c r="A29" s="21" t="s">
        <v>84</v>
      </c>
      <c r="B29" s="111" t="s">
        <v>85</v>
      </c>
      <c r="C29" s="112"/>
      <c r="D29" s="22" t="s">
        <v>41</v>
      </c>
      <c r="E29" s="23">
        <v>197627.37397980143</v>
      </c>
      <c r="F29" s="23">
        <f>SUM(F30:F33)</f>
        <v>217311.06042818967</v>
      </c>
    </row>
    <row r="30" spans="1:6" x14ac:dyDescent="0.25">
      <c r="A30" s="41" t="s">
        <v>86</v>
      </c>
      <c r="B30" s="113" t="s">
        <v>87</v>
      </c>
      <c r="C30" s="114"/>
      <c r="D30" s="42" t="s">
        <v>41</v>
      </c>
      <c r="E30" s="43">
        <v>188614.19911754451</v>
      </c>
      <c r="F30" s="33">
        <f>E30*$C$46</f>
        <v>207400.17334965194</v>
      </c>
    </row>
    <row r="31" spans="1:6" x14ac:dyDescent="0.25">
      <c r="A31" s="41" t="s">
        <v>88</v>
      </c>
      <c r="B31" s="47" t="s">
        <v>89</v>
      </c>
      <c r="C31" s="48">
        <v>2.2499999999999999E-2</v>
      </c>
      <c r="D31" s="42" t="s">
        <v>41</v>
      </c>
      <c r="E31" s="43">
        <v>4243.8194801447517</v>
      </c>
      <c r="F31" s="43">
        <f>F30*C31</f>
        <v>4666.5039003671682</v>
      </c>
    </row>
    <row r="32" spans="1:6" x14ac:dyDescent="0.25">
      <c r="A32" s="41" t="s">
        <v>90</v>
      </c>
      <c r="B32" s="113" t="s">
        <v>91</v>
      </c>
      <c r="C32" s="114"/>
      <c r="D32" s="42" t="s">
        <v>41</v>
      </c>
      <c r="E32" s="43">
        <v>4769.3553821121823</v>
      </c>
      <c r="F32" s="33">
        <f>E32*$C$46</f>
        <v>5244.3831781705549</v>
      </c>
    </row>
    <row r="33" spans="1:8" ht="15.75" thickBot="1" x14ac:dyDescent="0.3">
      <c r="A33" s="25" t="s">
        <v>92</v>
      </c>
      <c r="B33" s="98" t="s">
        <v>93</v>
      </c>
      <c r="C33" s="99"/>
      <c r="D33" s="26" t="s">
        <v>41</v>
      </c>
      <c r="E33" s="27">
        <v>0</v>
      </c>
      <c r="F33" s="27">
        <v>0</v>
      </c>
    </row>
    <row r="34" spans="1:8" s="24" customFormat="1" ht="14.25" x14ac:dyDescent="0.25">
      <c r="A34" s="21" t="s">
        <v>94</v>
      </c>
      <c r="B34" s="102" t="s">
        <v>95</v>
      </c>
      <c r="C34" s="102"/>
      <c r="D34" s="22" t="s">
        <v>41</v>
      </c>
      <c r="E34" s="23">
        <v>294619.99875708716</v>
      </c>
      <c r="F34" s="23">
        <f>SUM(F7,F29)</f>
        <v>323964.15063329303</v>
      </c>
    </row>
    <row r="35" spans="1:8" x14ac:dyDescent="0.25">
      <c r="A35" s="41" t="s">
        <v>96</v>
      </c>
      <c r="B35" s="103" t="s">
        <v>97</v>
      </c>
      <c r="C35" s="103"/>
      <c r="D35" s="42" t="s">
        <v>41</v>
      </c>
      <c r="E35" s="43">
        <v>0</v>
      </c>
      <c r="F35" s="43">
        <f>C50</f>
        <v>0</v>
      </c>
    </row>
    <row r="36" spans="1:8" x14ac:dyDescent="0.25">
      <c r="A36" s="41" t="s">
        <v>98</v>
      </c>
      <c r="B36" s="103" t="s">
        <v>99</v>
      </c>
      <c r="C36" s="103"/>
      <c r="D36" s="42" t="s">
        <v>41</v>
      </c>
      <c r="E36" s="43">
        <v>294619.99875708716</v>
      </c>
      <c r="F36" s="43">
        <f>F34+F35</f>
        <v>323964.15063329303</v>
      </c>
    </row>
    <row r="37" spans="1:8" x14ac:dyDescent="0.25">
      <c r="A37" s="41" t="s">
        <v>100</v>
      </c>
      <c r="B37" s="47" t="s">
        <v>101</v>
      </c>
      <c r="C37" s="48">
        <v>1E-3</v>
      </c>
      <c r="D37" s="42" t="s">
        <v>41</v>
      </c>
      <c r="E37" s="43">
        <v>294.61999875708716</v>
      </c>
      <c r="F37" s="43">
        <f>C54</f>
        <v>323.96415063329306</v>
      </c>
    </row>
    <row r="38" spans="1:8" x14ac:dyDescent="0.25">
      <c r="A38" s="49" t="s">
        <v>102</v>
      </c>
      <c r="B38" s="50" t="s">
        <v>103</v>
      </c>
      <c r="C38" s="61">
        <f>F38/F39</f>
        <v>1.2589712211842009E-2</v>
      </c>
      <c r="D38" s="5" t="s">
        <v>41</v>
      </c>
      <c r="E38" s="51">
        <v>294914.61875584425</v>
      </c>
      <c r="F38" s="51">
        <f>F36+F37</f>
        <v>324288.11478392634</v>
      </c>
      <c r="H38" s="52"/>
    </row>
    <row r="39" spans="1:8" s="24" customFormat="1" ht="15" hidden="1" customHeight="1" x14ac:dyDescent="0.25">
      <c r="A39" s="53" t="s">
        <v>102</v>
      </c>
      <c r="B39" s="115" t="s">
        <v>104</v>
      </c>
      <c r="C39" s="116"/>
      <c r="D39" s="54" t="s">
        <v>41</v>
      </c>
      <c r="E39" s="55">
        <v>25758183.295000002</v>
      </c>
      <c r="F39" s="55">
        <f>51516366.59/2</f>
        <v>25758183.295000002</v>
      </c>
    </row>
    <row r="40" spans="1:8" x14ac:dyDescent="0.25">
      <c r="A40" s="56" t="s">
        <v>105</v>
      </c>
      <c r="B40" s="117" t="s">
        <v>106</v>
      </c>
      <c r="C40" s="117"/>
      <c r="D40" s="4" t="s">
        <v>113</v>
      </c>
      <c r="E40" s="57">
        <v>48000</v>
      </c>
      <c r="F40" s="57">
        <f>C57</f>
        <v>48000</v>
      </c>
    </row>
    <row r="41" spans="1:8" s="24" customFormat="1" x14ac:dyDescent="0.25">
      <c r="A41" s="58" t="s">
        <v>107</v>
      </c>
      <c r="B41" s="120" t="s">
        <v>108</v>
      </c>
      <c r="C41" s="121"/>
      <c r="D41" s="59" t="s">
        <v>114</v>
      </c>
      <c r="E41" s="60">
        <v>6.1440545574134218</v>
      </c>
      <c r="F41" s="60">
        <f>F38/F40</f>
        <v>6.7560023913317986</v>
      </c>
    </row>
    <row r="42" spans="1:8" x14ac:dyDescent="0.25">
      <c r="B42" s="3" t="s">
        <v>191</v>
      </c>
    </row>
    <row r="46" spans="1:8" x14ac:dyDescent="0.25">
      <c r="B46" s="74" t="s">
        <v>127</v>
      </c>
      <c r="C46" s="75">
        <v>1.0995999999999999</v>
      </c>
    </row>
    <row r="47" spans="1:8" x14ac:dyDescent="0.25">
      <c r="B47" s="76" t="s">
        <v>128</v>
      </c>
      <c r="C47" s="77">
        <f>E34</f>
        <v>294619.99875708716</v>
      </c>
    </row>
    <row r="48" spans="1:8" x14ac:dyDescent="0.25">
      <c r="B48" s="76" t="s">
        <v>129</v>
      </c>
      <c r="C48" s="77">
        <f>C47*C46</f>
        <v>323964.15063329303</v>
      </c>
    </row>
    <row r="49" spans="2:6" x14ac:dyDescent="0.25">
      <c r="B49" s="76" t="s">
        <v>130</v>
      </c>
      <c r="C49" s="77">
        <f>E35</f>
        <v>0</v>
      </c>
    </row>
    <row r="50" spans="2:6" x14ac:dyDescent="0.25">
      <c r="B50" s="76" t="s">
        <v>131</v>
      </c>
      <c r="C50" s="77">
        <f>C49</f>
        <v>0</v>
      </c>
    </row>
    <row r="51" spans="2:6" x14ac:dyDescent="0.25">
      <c r="B51" s="76" t="s">
        <v>132</v>
      </c>
      <c r="C51" s="77">
        <f>C48+C50</f>
        <v>323964.15063329303</v>
      </c>
    </row>
    <row r="52" spans="2:6" x14ac:dyDescent="0.25">
      <c r="B52" s="76" t="s">
        <v>133</v>
      </c>
      <c r="C52" s="75">
        <f>C37</f>
        <v>1E-3</v>
      </c>
    </row>
    <row r="53" spans="2:6" x14ac:dyDescent="0.25">
      <c r="B53" s="76" t="s">
        <v>134</v>
      </c>
      <c r="C53" s="75">
        <f>C52</f>
        <v>1E-3</v>
      </c>
    </row>
    <row r="54" spans="2:6" x14ac:dyDescent="0.25">
      <c r="B54" s="76" t="s">
        <v>135</v>
      </c>
      <c r="C54" s="77">
        <f>C51*C53</f>
        <v>323.96415063329306</v>
      </c>
    </row>
    <row r="55" spans="2:6" x14ac:dyDescent="0.25">
      <c r="B55" s="76" t="s">
        <v>136</v>
      </c>
      <c r="C55" s="77">
        <f>C51+C54</f>
        <v>324288.11478392634</v>
      </c>
    </row>
    <row r="56" spans="2:6" x14ac:dyDescent="0.25">
      <c r="B56" s="76" t="s">
        <v>137</v>
      </c>
      <c r="C56" s="77">
        <f>E40</f>
        <v>48000</v>
      </c>
    </row>
    <row r="57" spans="2:6" x14ac:dyDescent="0.25">
      <c r="B57" s="76" t="s">
        <v>138</v>
      </c>
      <c r="C57" s="77">
        <f>C56</f>
        <v>48000</v>
      </c>
    </row>
    <row r="58" spans="2:6" x14ac:dyDescent="0.25">
      <c r="B58" s="74" t="s">
        <v>139</v>
      </c>
      <c r="C58" s="78">
        <f>C55/(C57)</f>
        <v>6.7560023913317986</v>
      </c>
    </row>
    <row r="61" spans="2:6" x14ac:dyDescent="0.25">
      <c r="B61" s="89" t="s">
        <v>140</v>
      </c>
      <c r="C61" s="89"/>
      <c r="D61" s="89"/>
      <c r="E61" s="89"/>
      <c r="F61" s="89"/>
    </row>
    <row r="62" spans="2:6" x14ac:dyDescent="0.25">
      <c r="B62" s="89"/>
      <c r="C62" s="89"/>
      <c r="D62" s="89"/>
      <c r="E62" s="89"/>
      <c r="F62" s="89"/>
    </row>
    <row r="63" spans="2:6" x14ac:dyDescent="0.25">
      <c r="B63" s="89"/>
      <c r="C63" s="89"/>
      <c r="D63" s="89"/>
      <c r="E63" s="89"/>
      <c r="F63" s="89"/>
    </row>
    <row r="64" spans="2:6" x14ac:dyDescent="0.25">
      <c r="B64" s="80" t="s">
        <v>141</v>
      </c>
    </row>
    <row r="65" spans="1:6" x14ac:dyDescent="0.25">
      <c r="B65" s="80" t="s">
        <v>142</v>
      </c>
    </row>
    <row r="66" spans="1:6" x14ac:dyDescent="0.25">
      <c r="B66" s="80" t="s">
        <v>143</v>
      </c>
    </row>
    <row r="67" spans="1:6" x14ac:dyDescent="0.25">
      <c r="B67" s="89" t="s">
        <v>144</v>
      </c>
      <c r="C67" s="89"/>
      <c r="D67" s="89"/>
      <c r="E67" s="89"/>
      <c r="F67" s="89"/>
    </row>
    <row r="68" spans="1:6" x14ac:dyDescent="0.25">
      <c r="B68" s="89"/>
      <c r="C68" s="89"/>
      <c r="D68" s="89"/>
      <c r="E68" s="89"/>
      <c r="F68" s="89"/>
    </row>
    <row r="69" spans="1:6" x14ac:dyDescent="0.25">
      <c r="B69" s="80" t="s">
        <v>145</v>
      </c>
    </row>
    <row r="70" spans="1:6" x14ac:dyDescent="0.25">
      <c r="B70" s="89" t="s">
        <v>147</v>
      </c>
      <c r="C70" s="89"/>
      <c r="D70" s="89"/>
      <c r="E70" s="89"/>
      <c r="F70" s="89"/>
    </row>
    <row r="71" spans="1:6" x14ac:dyDescent="0.25">
      <c r="B71" s="89"/>
      <c r="C71" s="89"/>
      <c r="D71" s="89"/>
      <c r="E71" s="89"/>
      <c r="F71" s="89"/>
    </row>
    <row r="72" spans="1:6" x14ac:dyDescent="0.25">
      <c r="B72" s="89"/>
      <c r="C72" s="89"/>
      <c r="D72" s="89"/>
      <c r="E72" s="89"/>
      <c r="F72" s="89"/>
    </row>
    <row r="73" spans="1:6" x14ac:dyDescent="0.25">
      <c r="B73" s="80" t="s">
        <v>151</v>
      </c>
    </row>
    <row r="74" spans="1:6" x14ac:dyDescent="0.25">
      <c r="B74" s="89" t="s">
        <v>146</v>
      </c>
      <c r="C74" s="89"/>
      <c r="D74" s="89"/>
      <c r="E74" s="89"/>
      <c r="F74" s="89"/>
    </row>
    <row r="75" spans="1:6" x14ac:dyDescent="0.25">
      <c r="B75" s="89" t="s">
        <v>148</v>
      </c>
      <c r="C75" s="89"/>
      <c r="D75" s="89"/>
      <c r="E75" s="89"/>
      <c r="F75" s="89"/>
    </row>
    <row r="76" spans="1:6" x14ac:dyDescent="0.25">
      <c r="B76" s="89"/>
      <c r="C76" s="89"/>
      <c r="D76" s="89"/>
      <c r="E76" s="89"/>
      <c r="F76" s="89"/>
    </row>
    <row r="77" spans="1:6" x14ac:dyDescent="0.25">
      <c r="B77" s="80" t="s">
        <v>165</v>
      </c>
    </row>
    <row r="78" spans="1:6" x14ac:dyDescent="0.25">
      <c r="B78" s="80" t="s">
        <v>150</v>
      </c>
    </row>
    <row r="80" spans="1:6" x14ac:dyDescent="0.25">
      <c r="A80" s="90" t="str">
        <f>'PROCENT CRESTERE'!$A$34</f>
        <v>Operator,</v>
      </c>
      <c r="B80" s="90"/>
      <c r="C80" s="90"/>
      <c r="D80" s="90"/>
      <c r="E80" s="90"/>
      <c r="F80" s="90"/>
    </row>
    <row r="81" spans="1:6" x14ac:dyDescent="0.25">
      <c r="A81" s="90" t="str">
        <f>'PROCENT CRESTERE'!$A$35</f>
        <v>S.C. SYLEVY CLEANING S.R.L.</v>
      </c>
      <c r="B81" s="90"/>
      <c r="C81" s="90"/>
      <c r="D81" s="90"/>
      <c r="E81" s="90"/>
      <c r="F81" s="90"/>
    </row>
    <row r="82" spans="1:6" x14ac:dyDescent="0.25">
      <c r="A82" s="91" t="str">
        <f>'PROCENT CRESTERE'!$A$36</f>
        <v>Reprezentant legal,</v>
      </c>
      <c r="B82" s="91"/>
      <c r="C82" s="91"/>
      <c r="D82" s="91"/>
      <c r="E82" s="91"/>
      <c r="F82" s="91"/>
    </row>
    <row r="83" spans="1:6" x14ac:dyDescent="0.25">
      <c r="A83" s="91" t="str">
        <f>'PROCENT CRESTERE'!$A$37</f>
        <v>Szilard-Levente ILYES</v>
      </c>
      <c r="B83" s="91"/>
      <c r="C83" s="91"/>
      <c r="D83" s="91"/>
      <c r="E83" s="91"/>
      <c r="F83" s="91"/>
    </row>
  </sheetData>
  <mergeCells count="45">
    <mergeCell ref="B25:C25"/>
    <mergeCell ref="B26:C26"/>
    <mergeCell ref="B41:C41"/>
    <mergeCell ref="B27:C27"/>
    <mergeCell ref="B28:C28"/>
    <mergeCell ref="B29:C29"/>
    <mergeCell ref="B30:C30"/>
    <mergeCell ref="B32:C32"/>
    <mergeCell ref="B74:F74"/>
    <mergeCell ref="B14:C14"/>
    <mergeCell ref="A2:F2"/>
    <mergeCell ref="A4:F4"/>
    <mergeCell ref="A5:F5"/>
    <mergeCell ref="B6:C6"/>
    <mergeCell ref="B7:C7"/>
    <mergeCell ref="B8:C8"/>
    <mergeCell ref="B9:C9"/>
    <mergeCell ref="B10:C10"/>
    <mergeCell ref="B11:C11"/>
    <mergeCell ref="B15:C15"/>
    <mergeCell ref="B16:C16"/>
    <mergeCell ref="B17:C17"/>
    <mergeCell ref="B18:C18"/>
    <mergeCell ref="B19:C19"/>
    <mergeCell ref="B12:C12"/>
    <mergeCell ref="B13:C13"/>
    <mergeCell ref="B61:F63"/>
    <mergeCell ref="B67:F68"/>
    <mergeCell ref="B70:F72"/>
    <mergeCell ref="B20:C20"/>
    <mergeCell ref="B33:C33"/>
    <mergeCell ref="B34:C34"/>
    <mergeCell ref="B35:C35"/>
    <mergeCell ref="B36:C36"/>
    <mergeCell ref="B21:C21"/>
    <mergeCell ref="B22:C22"/>
    <mergeCell ref="B23:C23"/>
    <mergeCell ref="B24:C24"/>
    <mergeCell ref="B39:C39"/>
    <mergeCell ref="B40:C40"/>
    <mergeCell ref="B75:F76"/>
    <mergeCell ref="A80:F80"/>
    <mergeCell ref="A81:F81"/>
    <mergeCell ref="A82:F82"/>
    <mergeCell ref="A83:F83"/>
  </mergeCells>
  <phoneticPr fontId="11" type="noConversion"/>
  <pageMargins left="0.7" right="0.24"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TARIFE ACTUALE_PROPUSE</vt:lpstr>
      <vt:lpstr>PROCENT CRESTERE</vt:lpstr>
      <vt:lpstr>t1</vt:lpstr>
      <vt:lpstr>t2</vt:lpstr>
      <vt:lpstr>t3</vt:lpstr>
      <vt:lpstr>t4</vt:lpstr>
      <vt:lpstr>t5</vt:lpstr>
      <vt:lpstr>t6</vt:lpstr>
      <vt:lpstr>t7</vt:lpstr>
      <vt:lpstr>t8</vt:lpstr>
      <vt:lpstr>t9</vt:lpstr>
      <vt:lpstr>t10</vt:lpstr>
      <vt:lpstr>t10.1</vt:lpstr>
      <vt:lpstr>t11</vt:lpstr>
      <vt:lpstr>t12</vt:lpstr>
      <vt:lpstr>t13</vt:lpstr>
      <vt:lpstr>t14</vt:lpstr>
      <vt:lpstr>t15</vt:lpstr>
      <vt:lpstr>t16</vt:lpstr>
      <vt:lpstr>t17</vt:lpstr>
      <vt:lpstr>t18</vt:lpstr>
      <vt:lpstr>t19</vt:lpstr>
      <vt:lpstr>t20</vt:lpstr>
      <vt:lpstr>t21</vt:lpstr>
      <vt:lpstr>t22</vt:lpstr>
      <vt:lpstr>t23</vt:lpstr>
      <vt:lpstr>'PROCENT CRESTERE'!_Hlk122873121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Bratu</dc:creator>
  <cp:lastModifiedBy>Sylevy Cleaning 6</cp:lastModifiedBy>
  <cp:lastPrinted>2025-04-10T13:47:32Z</cp:lastPrinted>
  <dcterms:created xsi:type="dcterms:W3CDTF">2023-05-22T11:00:15Z</dcterms:created>
  <dcterms:modified xsi:type="dcterms:W3CDTF">2025-04-10T14:06:20Z</dcterms:modified>
</cp:coreProperties>
</file>